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165" windowWidth="17400" windowHeight="9735"/>
  </bookViews>
  <sheets>
    <sheet name="resumen" sheetId="12" r:id="rId1"/>
    <sheet name="MOBIL.Y EQ." sheetId="6" r:id="rId2"/>
    <sheet name="EQ.TRANSP" sheetId="9" r:id="rId3"/>
    <sheet name="EQ.COMPUTO" sheetId="4" r:id="rId4"/>
    <sheet name="MAT.DIV" sheetId="3" r:id="rId5"/>
    <sheet name="B.CULT" sheetId="11" r:id="rId6"/>
    <sheet name="MAQ. Y HERRAM." sheetId="10" r:id="rId7"/>
    <sheet name="EQ. Y AP.COM" sheetId="5" r:id="rId8"/>
    <sheet name="TERRENOS" sheetId="7" r:id="rId9"/>
    <sheet name="EDIFICIOS" sheetId="8" r:id="rId10"/>
  </sheets>
  <externalReferences>
    <externalReference r:id="rId11"/>
  </externalReferences>
  <definedNames>
    <definedName name="_xlnm.Print_Area" localSheetId="5">B.CULT!$A$1:$K$17</definedName>
    <definedName name="_xlnm.Print_Area" localSheetId="9">EDIFICIOS!$A$1:$J$25</definedName>
    <definedName name="_xlnm.Print_Area" localSheetId="7">'EQ. Y AP.COM'!$A$1:$K$22</definedName>
    <definedName name="_xlnm.Print_Area" localSheetId="2">EQ.TRANSP!$A$1:$K$40</definedName>
    <definedName name="_xlnm.Print_Area" localSheetId="6">'MAQ. Y HERRAM.'!$A$1:$N$18</definedName>
    <definedName name="_xlnm.Print_Area" localSheetId="4">MAT.DIV!$A$1:$P$352</definedName>
    <definedName name="_xlnm.Print_Area" localSheetId="1">'MOBIL.Y EQ.'!$A$1:$K$276</definedName>
    <definedName name="_xlnm.Print_Area" localSheetId="8">TERRENOS!$A$1:$M$21</definedName>
  </definedNames>
  <calcPr calcId="125725"/>
</workbook>
</file>

<file path=xl/calcChain.xml><?xml version="1.0" encoding="utf-8"?>
<calcChain xmlns="http://schemas.openxmlformats.org/spreadsheetml/2006/main">
  <c r="A3" i="12"/>
  <c r="D115" i="4" l="1"/>
  <c r="H95"/>
  <c r="H248" i="6"/>
  <c r="H246"/>
  <c r="H247"/>
  <c r="H245"/>
  <c r="H244"/>
  <c r="H243"/>
  <c r="H242"/>
  <c r="H241"/>
  <c r="H240"/>
  <c r="D263"/>
  <c r="H142" i="3"/>
  <c r="D338"/>
  <c r="E325"/>
  <c r="H89" i="4"/>
  <c r="H86" l="1"/>
  <c r="H235" i="6"/>
  <c r="H229"/>
  <c r="F13" i="9" l="1"/>
  <c r="G9" i="10"/>
  <c r="G7"/>
  <c r="G5"/>
  <c r="F17" i="11"/>
  <c r="H292" i="3"/>
  <c r="H291"/>
  <c r="H290"/>
  <c r="H289"/>
  <c r="H288"/>
  <c r="H287"/>
  <c r="H286"/>
  <c r="H285"/>
  <c r="H284"/>
  <c r="H283"/>
  <c r="H282"/>
  <c r="H281"/>
  <c r="H280"/>
  <c r="H279"/>
  <c r="H278"/>
  <c r="H277"/>
  <c r="H276"/>
  <c r="H275"/>
  <c r="H274"/>
  <c r="H273"/>
  <c r="H272"/>
  <c r="H271"/>
  <c r="H270"/>
  <c r="H269"/>
  <c r="H268"/>
  <c r="H267"/>
  <c r="H266"/>
  <c r="H265"/>
  <c r="H264"/>
  <c r="H293" l="1"/>
  <c r="H259"/>
  <c r="H258"/>
  <c r="H257"/>
  <c r="H256"/>
  <c r="H255"/>
  <c r="H254"/>
  <c r="H253"/>
  <c r="H252"/>
  <c r="H251"/>
  <c r="H250"/>
  <c r="H249"/>
  <c r="H248"/>
  <c r="H247"/>
  <c r="H246"/>
  <c r="H245"/>
  <c r="H244"/>
  <c r="H243"/>
  <c r="H242"/>
  <c r="H260" l="1"/>
  <c r="H82" i="4"/>
  <c r="H224" i="6" l="1"/>
  <c r="H221" l="1"/>
  <c r="H8" i="11" l="1"/>
  <c r="H307" i="3"/>
  <c r="H308" s="1"/>
  <c r="H302"/>
  <c r="H303" s="1"/>
  <c r="H298"/>
  <c r="H237" l="1"/>
  <c r="H236"/>
  <c r="H235"/>
  <c r="H234"/>
  <c r="H233"/>
  <c r="H230"/>
  <c r="H185"/>
  <c r="H180"/>
  <c r="H238" l="1"/>
  <c r="H134"/>
  <c r="H112" l="1"/>
  <c r="H43"/>
  <c r="H27"/>
  <c r="H28"/>
  <c r="H86"/>
  <c r="H85"/>
  <c r="H76"/>
  <c r="H51"/>
  <c r="H22"/>
  <c r="H21"/>
  <c r="H20"/>
  <c r="H15"/>
  <c r="H23" l="1"/>
  <c r="H5"/>
  <c r="H6"/>
  <c r="H4"/>
  <c r="H8" l="1"/>
  <c r="E326"/>
  <c r="D344" s="1"/>
  <c r="H75" i="4"/>
  <c r="H74"/>
  <c r="H72"/>
  <c r="H58"/>
  <c r="H57"/>
  <c r="H66"/>
  <c r="H44"/>
  <c r="H40"/>
  <c r="E350" i="3" l="1"/>
  <c r="H76" i="4"/>
  <c r="H30"/>
  <c r="H38" s="1"/>
  <c r="H23"/>
  <c r="H20"/>
  <c r="H6"/>
  <c r="H12"/>
  <c r="D99" l="1"/>
  <c r="H217" i="6"/>
  <c r="H218" s="1"/>
  <c r="H168"/>
  <c r="H130"/>
  <c r="H129"/>
  <c r="H128"/>
  <c r="H66"/>
  <c r="D34" i="12"/>
  <c r="D20"/>
  <c r="D37" l="1"/>
  <c r="D275" i="6"/>
  <c r="H52" i="4"/>
  <c r="H59" s="1"/>
  <c r="H214" i="6"/>
  <c r="H213"/>
  <c r="H215" l="1"/>
  <c r="E15" i="8" l="1"/>
  <c r="E16" s="1"/>
  <c r="E17" s="1"/>
  <c r="H17" s="1"/>
  <c r="F15"/>
  <c r="G15" s="1"/>
  <c r="G16" s="1"/>
  <c r="F16" l="1"/>
  <c r="H15"/>
  <c r="H13"/>
  <c r="H14"/>
  <c r="H12"/>
  <c r="H11"/>
  <c r="H211" i="6"/>
  <c r="H208"/>
  <c r="H199"/>
  <c r="H193"/>
  <c r="H183"/>
  <c r="H179"/>
  <c r="H178"/>
  <c r="H177"/>
  <c r="H176"/>
  <c r="H175"/>
  <c r="H174"/>
  <c r="H173"/>
  <c r="H172"/>
  <c r="H171"/>
  <c r="H170"/>
  <c r="H169"/>
  <c r="H146"/>
  <c r="H149"/>
  <c r="H16" i="8" l="1"/>
  <c r="H18" s="1"/>
  <c r="H20" s="1"/>
  <c r="H159" i="6"/>
  <c r="H194"/>
  <c r="H203" s="1"/>
  <c r="H180"/>
  <c r="H191" i="3" l="1"/>
  <c r="H220"/>
  <c r="H219"/>
  <c r="H218"/>
  <c r="H217"/>
  <c r="H216"/>
  <c r="H215"/>
  <c r="H214"/>
  <c r="H213"/>
  <c r="H212"/>
  <c r="H189"/>
  <c r="H190"/>
  <c r="H137" i="6"/>
  <c r="H67"/>
  <c r="H65"/>
  <c r="H50"/>
  <c r="H37"/>
  <c r="H132"/>
  <c r="H131"/>
  <c r="H127"/>
  <c r="H126"/>
  <c r="H125"/>
  <c r="H124"/>
  <c r="H123"/>
  <c r="H122"/>
  <c r="H121"/>
  <c r="H146" i="3"/>
  <c r="H145"/>
  <c r="H149"/>
  <c r="H148"/>
  <c r="H147"/>
  <c r="H58"/>
  <c r="H11" i="4"/>
  <c r="H10"/>
  <c r="H170" i="3" l="1"/>
  <c r="H223"/>
  <c r="H17" i="4"/>
  <c r="H98" i="6"/>
  <c r="H140"/>
  <c r="H133"/>
  <c r="H19" i="5"/>
  <c r="H18"/>
  <c r="H17"/>
  <c r="H16"/>
  <c r="H15"/>
  <c r="H14"/>
  <c r="H6"/>
  <c r="H7" i="4"/>
  <c r="H20" i="5" l="1"/>
  <c r="H141" i="6"/>
  <c r="H107" i="3"/>
  <c r="H100"/>
  <c r="H91"/>
  <c r="H90"/>
  <c r="H89"/>
  <c r="H88"/>
  <c r="H87"/>
  <c r="H62"/>
  <c r="H61"/>
  <c r="H59"/>
  <c r="H34"/>
  <c r="H32"/>
  <c r="H29"/>
  <c r="H119"/>
  <c r="H106"/>
  <c r="H105"/>
  <c r="H104"/>
  <c r="H103"/>
  <c r="H102"/>
  <c r="H101"/>
  <c r="H99"/>
  <c r="H98"/>
  <c r="H93"/>
  <c r="H92"/>
  <c r="H84"/>
  <c r="H66"/>
  <c r="H64"/>
  <c r="H63"/>
  <c r="H60"/>
  <c r="H57"/>
  <c r="H80"/>
  <c r="H79"/>
  <c r="H72"/>
  <c r="H52"/>
  <c r="H50"/>
  <c r="H49"/>
  <c r="H48"/>
  <c r="H47"/>
  <c r="H45"/>
  <c r="H44"/>
  <c r="H37"/>
  <c r="H36"/>
  <c r="H35"/>
  <c r="H33"/>
  <c r="H46"/>
  <c r="H120" l="1"/>
  <c r="H108"/>
  <c r="H81"/>
  <c r="H94"/>
  <c r="H53"/>
  <c r="H67"/>
  <c r="H38"/>
  <c r="H122" l="1"/>
</calcChain>
</file>

<file path=xl/sharedStrings.xml><?xml version="1.0" encoding="utf-8"?>
<sst xmlns="http://schemas.openxmlformats.org/spreadsheetml/2006/main" count="4718" uniqueCount="1146">
  <si>
    <t>ARCHIVERO 4 CAJONES CHOCOLATE</t>
  </si>
  <si>
    <t>SILLA EJECUTIVA PIEL CAFÉ</t>
  </si>
  <si>
    <t>ESCRITORIO EJECUTIVO O PORT</t>
  </si>
  <si>
    <t>ARCHIVERO LATERAL FORTE</t>
  </si>
  <si>
    <t>TELEFONO RCA 2 LINEAS ALAMBR.</t>
  </si>
  <si>
    <t>TELEFONO RCA MULTI-AURICULAR</t>
  </si>
  <si>
    <t>HP OFFICE JET PRO 8500 A PLUS</t>
  </si>
  <si>
    <t>CAFETERA DIGITAL PROGRAMABLE</t>
  </si>
  <si>
    <t>CESTO P/ BASURA GRANDE CAFÉ</t>
  </si>
  <si>
    <t>SET DE ESCRITORIO 4 PZAS</t>
  </si>
  <si>
    <t>MOUSE MINI OPTICO ALAMB.</t>
  </si>
  <si>
    <t>MOUSE OPTICO PORTATIL</t>
  </si>
  <si>
    <t>PROTECTOR ALFOMBRA</t>
  </si>
  <si>
    <t>TOTAL</t>
  </si>
  <si>
    <t>POSA17,059,554</t>
  </si>
  <si>
    <t>EQUIPO DE COMPUTO</t>
  </si>
  <si>
    <t>GRAN TOTAL</t>
  </si>
  <si>
    <t>No. INVENTARIO</t>
  </si>
  <si>
    <t>UBICACIÓN</t>
  </si>
  <si>
    <t>TIPO DE BIEN</t>
  </si>
  <si>
    <t xml:space="preserve">MARCA </t>
  </si>
  <si>
    <t>MODELO</t>
  </si>
  <si>
    <t>CARACTERISTICAS GENERALES</t>
  </si>
  <si>
    <t>ESTADO</t>
  </si>
  <si>
    <t>No. FACTURA</t>
  </si>
  <si>
    <t>COSTO</t>
  </si>
  <si>
    <t>FONDO</t>
  </si>
  <si>
    <t>FP/ATVD/225/05</t>
  </si>
  <si>
    <t>FP/ATVD-225/05</t>
  </si>
  <si>
    <t xml:space="preserve">TELEFONO MULTILINEA </t>
  </si>
  <si>
    <t>PANASONIC</t>
  </si>
  <si>
    <t>KX-T7730</t>
  </si>
  <si>
    <t>PROGRAMADOR  CON PANTALLA LCD COLOR GRIS</t>
  </si>
  <si>
    <t>BUENO</t>
  </si>
  <si>
    <t>COLOR GRIS</t>
  </si>
  <si>
    <t>FPATVD-029/05</t>
  </si>
  <si>
    <t>SOFA DE TRES PLAZAS</t>
  </si>
  <si>
    <t>S/M</t>
  </si>
  <si>
    <t>MOD. VAN GOGH</t>
  </si>
  <si>
    <t xml:space="preserve"> VINIL/PIEL MOD.</t>
  </si>
  <si>
    <t>FPATVD-030/06</t>
  </si>
  <si>
    <t>SOFA DE DOS PLAZAS</t>
  </si>
  <si>
    <t>FPATVD-031/07</t>
  </si>
  <si>
    <t>COLOR CAOBA</t>
  </si>
  <si>
    <t>FP/ATVD-121/05</t>
  </si>
  <si>
    <t xml:space="preserve"> MOD. L-110/280/261/501/870/A1002 LÍNEA HAKEN</t>
  </si>
  <si>
    <t>FP/ATVD-097/05</t>
  </si>
  <si>
    <t xml:space="preserve">SILLON EJECUTIVO </t>
  </si>
  <si>
    <t>REQUIEZ</t>
  </si>
  <si>
    <t xml:space="preserve">MOD. RE-1250 </t>
  </si>
  <si>
    <t>TAPIZADO EN TELA COLOR NEGRO</t>
  </si>
  <si>
    <t>FP/ATVD-175/04</t>
  </si>
  <si>
    <t>TELEFONO UNILINEA</t>
  </si>
  <si>
    <t>KX-T5500LXW</t>
  </si>
  <si>
    <t>MALO</t>
  </si>
  <si>
    <t>FP/ATVD-099/05</t>
  </si>
  <si>
    <t>FP/ATVD-114/05</t>
  </si>
  <si>
    <t>ARCHIVERO VERTICAL</t>
  </si>
  <si>
    <t>MOD.  B-580 LINEA HAKEN</t>
  </si>
  <si>
    <t>4 GAVETAS CON CERRADURA COLOR CAOBA</t>
  </si>
  <si>
    <t>FP/ATVD-177/05</t>
  </si>
  <si>
    <t>VIGILANCIA</t>
  </si>
  <si>
    <t>FP/ATVD-116/05</t>
  </si>
  <si>
    <t>FP/ATVD-179/04</t>
  </si>
  <si>
    <t xml:space="preserve">SILLA P/ CAJERO </t>
  </si>
  <si>
    <t>MOD BOLOGNA-KIT</t>
  </si>
  <si>
    <t xml:space="preserve">COLOR NEGRO C/DESCANSA PIES </t>
  </si>
  <si>
    <t>FP/ATVD-094/05</t>
  </si>
  <si>
    <t xml:space="preserve">MODL150/501 </t>
  </si>
  <si>
    <t>CON CAJONERA FIJA CON UNA GAVETA  CON CERRADURA COLOR CAOBA</t>
  </si>
  <si>
    <t>FP/ATVD-180/04</t>
  </si>
  <si>
    <t>FP/ATVD-100/05</t>
  </si>
  <si>
    <t>NOVA PLUS</t>
  </si>
  <si>
    <t>FP/ATVD-207/05</t>
  </si>
  <si>
    <t xml:space="preserve">ESTANTERIA METALICA </t>
  </si>
  <si>
    <t>ESTANTERIA METALICA</t>
  </si>
  <si>
    <t>FP/ATVD-208/05</t>
  </si>
  <si>
    <t>LINEA HAKEN</t>
  </si>
  <si>
    <t>FP/ATVD-209/05</t>
  </si>
  <si>
    <t>FPVDYAIPET096/05</t>
  </si>
  <si>
    <t>FP/ATVD4/05/05-1</t>
  </si>
  <si>
    <t>MICROSOFT</t>
  </si>
  <si>
    <t>FP/ATVD-4/05/05-2</t>
  </si>
  <si>
    <t>DOS DISCOS  OEM OFFICE BUS 2003</t>
  </si>
  <si>
    <t>FP/ATVD-4/05/05-3</t>
  </si>
  <si>
    <t>PCI 300M11 A/B/G//WIRELES PCI</t>
  </si>
  <si>
    <t>HP</t>
  </si>
  <si>
    <t>FP/ATVD-163-05</t>
  </si>
  <si>
    <t>SAMSUNG</t>
  </si>
  <si>
    <t>SCX-4216F</t>
  </si>
  <si>
    <t>LASER MONOCROMATICO, COPIADORA, FAX, SCANNER E IMPRESORA</t>
  </si>
  <si>
    <t>FP/ATVD-033/05</t>
  </si>
  <si>
    <t xml:space="preserve">MOD. B400 LINEA HEKEN </t>
  </si>
  <si>
    <t>COLOR CAOBA CON CUATRO ENTRE PAÑOS</t>
  </si>
  <si>
    <t>FP/ATVD-115/05</t>
  </si>
  <si>
    <t>ASPEL</t>
  </si>
  <si>
    <t>CD RW  COLOR  VERDE</t>
  </si>
  <si>
    <t>FP/ATVD-246/05</t>
  </si>
  <si>
    <t>ASPEL COI  V4.0 WIN  1/U  ACTUALIZADO</t>
  </si>
  <si>
    <t>FP/ATVD-04/05/05-7</t>
  </si>
  <si>
    <t>FP/ATVD-174/05</t>
  </si>
  <si>
    <t xml:space="preserve">CENTRAL TELEFONICA </t>
  </si>
  <si>
    <t>HYBRID SISTEM KX-TA308</t>
  </si>
  <si>
    <t xml:space="preserve">P/6LINEAS 16 EXTENSIONES  CON REGULADOR </t>
  </si>
  <si>
    <t>FP/ATVD-176/04</t>
  </si>
  <si>
    <t>FP/ATVD-093/05</t>
  </si>
  <si>
    <t>FP/ATV-238/05</t>
  </si>
  <si>
    <t>CUNA CAMA .70*1.40 M</t>
  </si>
  <si>
    <t>FP/ATV-239/05</t>
  </si>
  <si>
    <t>FP/ATV-240/05</t>
  </si>
  <si>
    <t>FP/ATV-241/05</t>
  </si>
  <si>
    <t xml:space="preserve"> COLCHON INFANTIL .70*1.40 M</t>
  </si>
  <si>
    <t>FP/ATV-242/05</t>
  </si>
  <si>
    <t>FP/ATV-243/05</t>
  </si>
  <si>
    <t>CANT</t>
  </si>
  <si>
    <t>PROVEEDOR</t>
  </si>
  <si>
    <t>ALMACENADORA E.J.,S.A DE C.V.</t>
  </si>
  <si>
    <t>JUEGO DE CUCHILLOS CHEFF REBANADOR DE ACERO INOXIDABLE CON MANGO DE PLASTICO RESISTENTE</t>
  </si>
  <si>
    <t>MACHACADOR MANGO DE MADERA USO DOMESTICO CROMADO</t>
  </si>
  <si>
    <t>TRINCHE MANGO DE MADERA USO DOMESTICO CROMADO</t>
  </si>
  <si>
    <t>CUCHARA CALADA MANGO DE MADERA USO DOMESTICO CROMADO</t>
  </si>
  <si>
    <t>VOLTEADOR LISO LARGO MANGO DE PLASTICO</t>
  </si>
  <si>
    <t>RAYADOR GRANDE DE 4 LADOS DE 22P. CMS DE ACERO INOXIDABLE</t>
  </si>
  <si>
    <t>EXPRIMIDOR DE LIMONES DE ALUMINIO EXTRA REFORZADO</t>
  </si>
  <si>
    <t>COLADERA DE 12 CM DE DIAMETRO DE MALLA SENCILLA REFORZADA</t>
  </si>
  <si>
    <t>JARRAS DE LUJO DE CRISTAL DE 2LTS. CUADRO LUMINAR</t>
  </si>
  <si>
    <t>BUDINERA #26 C/TAPA 5.3LTS T. FUERTE</t>
  </si>
  <si>
    <t>DISTRIBUIDORA MEXICANA DE RESTAURANTES S.A. DE C.V.</t>
  </si>
  <si>
    <t xml:space="preserve">CUCHARAS DE SERVICIO </t>
  </si>
  <si>
    <t xml:space="preserve">TAZA ESTIBABLE 219 ML. </t>
  </si>
  <si>
    <t>SARTEN PLATA /AZUL CAPRI 26 CM.</t>
  </si>
  <si>
    <t>SARTEN PLATA /AZUL CAPRI 20 CM.</t>
  </si>
  <si>
    <t>BUDINERA #40 C/TAPA 16 LTS T. FUERTE</t>
  </si>
  <si>
    <t>OLLA CONVEKA C/ASAS No. 26</t>
  </si>
  <si>
    <t>OLLA ALTA #50 C/TAPA 56LTS</t>
  </si>
  <si>
    <t>CUBETA 15 LTS INDUSTRIAL TUCKE T-15</t>
  </si>
  <si>
    <t>VASO #6660 AGUA 9.8 OZ</t>
  </si>
  <si>
    <t>SALERO BOLA NEC TAPA METAL</t>
  </si>
  <si>
    <t>JARRAS #3800 MÉXICO 60 OZ</t>
  </si>
  <si>
    <t>PLATO SOPERO 414 ML. BFB-7.5</t>
  </si>
  <si>
    <t>A-VAPORERA #34</t>
  </si>
  <si>
    <t>CUBETA #10</t>
  </si>
  <si>
    <t>JUEGOS DE GANCHOS KARTELL</t>
  </si>
  <si>
    <t xml:space="preserve">PLATO CEREAL </t>
  </si>
  <si>
    <t>ENSALADERA REDONDA</t>
  </si>
  <si>
    <t>COLADERA MALLA DOBLE DE 20 CM</t>
  </si>
  <si>
    <t>PLATO TRINCHE 23 CM.</t>
  </si>
  <si>
    <t>ABRELATAS DESTAPADOR</t>
  </si>
  <si>
    <t>OLLA EXPRESS DE 6LT.</t>
  </si>
  <si>
    <t>CONTENEDORES DE 79LTS MILLER</t>
  </si>
  <si>
    <t>VAPORERA #45</t>
  </si>
  <si>
    <t xml:space="preserve">BATIDORA </t>
  </si>
  <si>
    <t>COLADERAS MALLA DOBLE DE 12 CM</t>
  </si>
  <si>
    <t xml:space="preserve">VOLTEADOR CHEF </t>
  </si>
  <si>
    <t>CUCHARAS CAFÉ FLORESTA</t>
  </si>
  <si>
    <t>TENEDOR ZET LETICIA</t>
  </si>
  <si>
    <t>CUCHARAS SOPA FLORESTA</t>
  </si>
  <si>
    <t>CUCHILLO MESA FLORESTA</t>
  </si>
  <si>
    <t>PALANGANAS</t>
  </si>
  <si>
    <t>CONTENEDOR DE 145 LTS</t>
  </si>
  <si>
    <t>TORTILLEROS TERMICOS FAMILIAR</t>
  </si>
  <si>
    <t>BARRILES 10 LTS. #606  (CRISTAL)</t>
  </si>
  <si>
    <t>SERVILLETEROS FLOR/ABANICO</t>
  </si>
  <si>
    <t>PANERA PASTELERA</t>
  </si>
  <si>
    <t>PORTA GARRAFON</t>
  </si>
  <si>
    <t>FORMACIÓN NADIA</t>
  </si>
  <si>
    <t>CESTAS CALADA RED</t>
  </si>
  <si>
    <t>LICUADORA AD7217 14 VEL VASO PLAS</t>
  </si>
  <si>
    <t>HORNO DAEWOO MOD. KDR-161</t>
  </si>
  <si>
    <t>REFRIGERADOR MABE MODELO AM77W04B</t>
  </si>
  <si>
    <t>TOSTADOR TOAS LOGIC 4 REBANADAS</t>
  </si>
  <si>
    <t>CAMPANA MARCA MABE MODELO CM-8091</t>
  </si>
  <si>
    <t>CUCHILLO USO GEN #53-07</t>
  </si>
  <si>
    <t>ABRELATAS ELECTRICO</t>
  </si>
  <si>
    <t>EXPRIMIDOR PALANCA TORONJERO-JR</t>
  </si>
  <si>
    <t>COLADERA MALLA 25 CMS</t>
  </si>
  <si>
    <t>FRUTERO REDONDO C/CORDON UVAS</t>
  </si>
  <si>
    <t>CUCHARON 09 OZ 270 ML. 10 CMS</t>
  </si>
  <si>
    <t>CUCHARON 12 OZ 360 ML. 12 CMS</t>
  </si>
  <si>
    <t>MACHACADOR CROMADO #179-E</t>
  </si>
  <si>
    <t>TABLAS PARA PICAR 20X30</t>
  </si>
  <si>
    <t>PINZAS MEDIANAS PARA PAN GALVANIZADAS</t>
  </si>
  <si>
    <t>FP/ATVD-205/05</t>
  </si>
  <si>
    <t>FP/ATVD-206/05</t>
  </si>
  <si>
    <t>REGULAR</t>
  </si>
  <si>
    <t>ANEXO ADMINISTRATIVO</t>
  </si>
  <si>
    <t>JUEGO DE HIELERAS CUBIHIELO H160</t>
  </si>
  <si>
    <t>AREA</t>
  </si>
  <si>
    <t>COMPUTADORA ENSAMBLADA INTEGRADA POR PROCESADOR INTEL PENTIUM IV A 2.4 GHZ, BUS DE 512 MB DE CACHE, BUS DE 800 MHZ, NO. DE PARTE BX80532PG2400D. MOTHERBOARD INTEL D865GVHZ MATX A/V/R 400/533/800 MHZ, No. DE PARTE BOXD865GVHZL. MEMORIA DDR DE 256 MB 333 MHZ PC2700, No. PARTE KVR333X64C25/256, UNIDAD DE CD ROM 52X MCA LG, No. PARTE GCR-8523B, UNIDAD DE FLOPPY 3.5" SAMSUNG No.PARTE: SFD-321B, FAX MODEM 56KBPS MCA SMC, No. PARTE:SMCFM1001, TECLADO ESTANDAR MCA ACTEK, MOUSE MCA ACTEK OPTICO, MONITOR COLOR DE 17", BOCINAS MCA ACTEK.</t>
  </si>
  <si>
    <t>ENSAMBLADA</t>
  </si>
  <si>
    <t>A1729</t>
  </si>
  <si>
    <t>TRABAJO SOCIAL</t>
  </si>
  <si>
    <t>DIRECCIÓN</t>
  </si>
  <si>
    <t>MODULO DE CONEXIÓN PARA LA TOMA DE CADA TELEFONO.</t>
  </si>
  <si>
    <t>CANALETA PARA INTERIORES</t>
  </si>
  <si>
    <t>BOBINA DE CABLE INTERIORES TELEFÓNICO CON AISLAMIENTO P HUMEDAD</t>
  </si>
  <si>
    <t>MATERIAL DE INSTALAC. Y TERMINAC. DE SERV. VOZ, MAT. SELLADOR  PARA CABLEADO DE LINEAS TELEFONICAS</t>
  </si>
  <si>
    <t>SERVICIO DE INSTALACION TELEFONICA</t>
  </si>
  <si>
    <t>MULTIFUNCIONAL  (COPIADORA)</t>
  </si>
  <si>
    <t>NO BREAK CON REGULADOR INTEGRADO DE 480 VA</t>
  </si>
  <si>
    <t>A1731</t>
  </si>
  <si>
    <t>IMPRESORA HP LASER JET 1015</t>
  </si>
  <si>
    <t>No.PARTE Q2462A#ABA</t>
  </si>
  <si>
    <t>OFFICE CONECT ADSL WIRELESS 11G FIREWALL ROUTER</t>
  </si>
  <si>
    <t>No.PARTE 3CRWE754G72-A</t>
  </si>
  <si>
    <t>FP/ATVD-124/05</t>
  </si>
  <si>
    <t>PLANCHA</t>
  </si>
  <si>
    <t>PLANCHA CON VAPOR Y ROCIO</t>
  </si>
  <si>
    <t>FP/ATVD-125/05</t>
  </si>
  <si>
    <t>FP/ATVD-126/05</t>
  </si>
  <si>
    <t>FP/ATVD-127/05</t>
  </si>
  <si>
    <t>FP/ATVD-128/05</t>
  </si>
  <si>
    <t>FP/ATVD-129/05</t>
  </si>
  <si>
    <t>LAVADORA</t>
  </si>
  <si>
    <t>LAVADORA PARA 11 KGS. DE ROPA</t>
  </si>
  <si>
    <t>FP/ATVD-130/05</t>
  </si>
  <si>
    <t>FP/ATVD-123/05</t>
  </si>
  <si>
    <t>SONY</t>
  </si>
  <si>
    <t>FP/ATVD-122/05</t>
  </si>
  <si>
    <t>TELEVISION FD TRINITON WEGA 29"</t>
  </si>
  <si>
    <t>PLATOS PARA TAZA</t>
  </si>
  <si>
    <t>COCINA</t>
  </si>
  <si>
    <t>UN COI 4.01 USUARIO 4 EMPRESAS WIN CD</t>
  </si>
  <si>
    <t>UN CD REWRITER LG 52X32X52X</t>
  </si>
  <si>
    <t>S/N:409HDRF295678</t>
  </si>
  <si>
    <t>FP/ATVD-156/05</t>
  </si>
  <si>
    <t>MESACOMEDOR 3.00*1.00M</t>
  </si>
  <si>
    <t>FP/ATVD-157/05</t>
  </si>
  <si>
    <t>MESACOMEDOR 3.00M*1.00M</t>
  </si>
  <si>
    <t>MESA COMEDOR 0.80 M X 0.80 M, CUBIERTA DE FORMAICA</t>
  </si>
  <si>
    <t>FP/ATVD-136/05</t>
  </si>
  <si>
    <t>FP/ATVD-149/05</t>
  </si>
  <si>
    <t>FP/ATVD-137/05</t>
  </si>
  <si>
    <t>CAMA  DE ARCO C/COLCHON ORTOPEDICO</t>
  </si>
  <si>
    <t>FP/ATVD-138/05</t>
  </si>
  <si>
    <t>FP/ATVD-139/05</t>
  </si>
  <si>
    <t>FP/ATVD/143/05</t>
  </si>
  <si>
    <t>FP/ATVD-132/05</t>
  </si>
  <si>
    <t>FP/ATVD-133/05</t>
  </si>
  <si>
    <t>FP/ATVD-134/05</t>
  </si>
  <si>
    <t>FP/ATVD-135/05</t>
  </si>
  <si>
    <t>FP/ATVD/144/05</t>
  </si>
  <si>
    <t>FP/ATVD/145/05</t>
  </si>
  <si>
    <t>FP/ATVD/146/05</t>
  </si>
  <si>
    <t>FP/ATVD/147/05</t>
  </si>
  <si>
    <t>FP/ATVD/148/05</t>
  </si>
  <si>
    <t>FP/ATVD/131/05</t>
  </si>
  <si>
    <t>FP/ATVD-159/05</t>
  </si>
  <si>
    <t>FP/ATVD-158/05</t>
  </si>
  <si>
    <t xml:space="preserve">MESA COMEDOR .80M*.80M  </t>
  </si>
  <si>
    <t>FP/ATVD-140/05</t>
  </si>
  <si>
    <t>FP/ATVD-141/05</t>
  </si>
  <si>
    <t>FP/ATVD-142/05</t>
  </si>
  <si>
    <t>FP/ATVD/151/05</t>
  </si>
  <si>
    <t>FP/ATVD/152/05</t>
  </si>
  <si>
    <t>FP/ATVD/153/05</t>
  </si>
  <si>
    <t>FP/ATVD/154/05</t>
  </si>
  <si>
    <t>FP/ATVD/155/05</t>
  </si>
  <si>
    <t>DIRECCION</t>
  </si>
  <si>
    <t>MOD. RE-1252</t>
  </si>
  <si>
    <t>ESCRITORIO RECTANGULAR 1.20*70*75</t>
  </si>
  <si>
    <t>ISSO</t>
  </si>
  <si>
    <t>ISSO 05</t>
  </si>
  <si>
    <t>SILLA ISSO TAPIZADA EN TELA</t>
  </si>
  <si>
    <t>MOD. TREVISO</t>
  </si>
  <si>
    <t>LIBRERO DE PISO ABIERTO DE CUATRO ENTREPAÑOS DE 90 X 30 X 1.90</t>
  </si>
  <si>
    <t>UN LIBRERO DE PISO ABIERTO DE CUATRO ENTREPAÑOS DE 90 X 30 X 1.90</t>
  </si>
  <si>
    <t xml:space="preserve">UNA MESA DE JUNTAS OVAL PARA OCHO PERSONAS </t>
  </si>
  <si>
    <t>B620</t>
  </si>
  <si>
    <t xml:space="preserve">UNA MESA MULTIUSOS 1.20X70X75 </t>
  </si>
  <si>
    <t>MESA DE CENTRO 80X70X45</t>
  </si>
  <si>
    <t>B675</t>
  </si>
  <si>
    <t>MESA PARA TELEVISION Y VIDEO 80X70X75</t>
  </si>
  <si>
    <t>B700</t>
  </si>
  <si>
    <t>MESA PARA JUNTAS RECTANGULAR 1.20X70X75</t>
  </si>
  <si>
    <t>MOD.B-190/310/500</t>
  </si>
  <si>
    <t>UN MODULO DE RECEPCIÓN DE 1.70 X 1.10 M LATERAL DE 1.20 X 0.50 M CON UNA CAJONERA FIJA DE UNA GAVETA PAPELERA Y UNA DE ARCHIVO.</t>
  </si>
  <si>
    <t>FP/ATVD-172/05</t>
  </si>
  <si>
    <t>BURRO PARA PLANCHAR</t>
  </si>
  <si>
    <t>FP/ATVD-173/05</t>
  </si>
  <si>
    <t>FP/ATVD-168/05</t>
  </si>
  <si>
    <t>FP/ATVD-167/05</t>
  </si>
  <si>
    <t>COCINA INTEGRAL  LINEAL DE 4.75 MTS ELABORADA CON MDF DE 15 MM MELAMINICO BLANCO PARA MUEBLES CON MADERA DE PINO PARA PEINAZOS DE FIJACION Y ZOCLO, PUERTA Y CAJONES DE MDF DE 15 MM LACADO EN CUALQUIER COLOR BISAGRA BIDIMENSIONALES DE CIERRE AUTOMATICO.</t>
  </si>
  <si>
    <t>PARILLA METÁLICA DE CUATRO PATAS CON CUATRO HORNILLAS DE GAS.</t>
  </si>
  <si>
    <t xml:space="preserve">CAFETERA </t>
  </si>
  <si>
    <t>OSTERIZER</t>
  </si>
  <si>
    <t>FP/ATVD-170/05</t>
  </si>
  <si>
    <t>FP/ATVD-186/05</t>
  </si>
  <si>
    <t>SILLA DE PLÀSTICO</t>
  </si>
  <si>
    <t>DURA APILABLE P/ADULTO COLOR BLANCO</t>
  </si>
  <si>
    <t>FP/ATVD/187/05</t>
  </si>
  <si>
    <t>FP/ATVD-188/05</t>
  </si>
  <si>
    <t xml:space="preserve">SILLA DE PLÁSTICO </t>
  </si>
  <si>
    <t>FP/ATVD-189/05</t>
  </si>
  <si>
    <t>FP/ATVD-182/05</t>
  </si>
  <si>
    <t>FP/ATVD-183/05</t>
  </si>
  <si>
    <t>FP/ATVD-184/05</t>
  </si>
  <si>
    <t>FP/ATVD-185/05</t>
  </si>
  <si>
    <t>FP/ATVD-190/05</t>
  </si>
  <si>
    <t>FP/ATVD/191/05</t>
  </si>
  <si>
    <t>FP/ATVD/192/05</t>
  </si>
  <si>
    <t>FP/ATVD/193/05</t>
  </si>
  <si>
    <t>FP/ATVD/194/05</t>
  </si>
  <si>
    <t>FP/ATVD/195/05</t>
  </si>
  <si>
    <t>FP/ATVD/196/05</t>
  </si>
  <si>
    <t>FP/ATVD/197/05</t>
  </si>
  <si>
    <t>FP/ATVD/198/05</t>
  </si>
  <si>
    <t>FP/ATVD/199/05</t>
  </si>
  <si>
    <t>FP/ATVD/200/05</t>
  </si>
  <si>
    <t>FP/ATVD/201/05</t>
  </si>
  <si>
    <t>MOD 110</t>
  </si>
  <si>
    <t xml:space="preserve">AZUCARERA TAPA DE ACERO INOXIDABLE </t>
  </si>
  <si>
    <t>FP/ATVD-219/05</t>
  </si>
  <si>
    <t>ALTAR DE 1.50*.70*1.65 MTS</t>
  </si>
  <si>
    <t>FP/ATVD-220/05</t>
  </si>
  <si>
    <t xml:space="preserve">RECLINATORIO </t>
  </si>
  <si>
    <t>DE MADERA DE PINO  TAPIZADO COLOR VINO</t>
  </si>
  <si>
    <t>FP/ATVD-221/05</t>
  </si>
  <si>
    <t>FP/ATVD-213/05</t>
  </si>
  <si>
    <t>TOAS LOGIC</t>
  </si>
  <si>
    <t>FP/ATVD-203/05</t>
  </si>
  <si>
    <t>FP/ATVD-202/05</t>
  </si>
  <si>
    <t>FP/ATVD/204/05</t>
  </si>
  <si>
    <t>LICUADORA</t>
  </si>
  <si>
    <t>FP/ATVD-214/05</t>
  </si>
  <si>
    <t>BAJAS</t>
  </si>
  <si>
    <t>COLADERA MALLA DOBLE DE 15CM</t>
  </si>
  <si>
    <t>FP/ATVD-232/05</t>
  </si>
  <si>
    <t>CESTO PARA BASURA</t>
  </si>
  <si>
    <t>GEBESA</t>
  </si>
  <si>
    <t>COLOR NEGRO TAMAÑO JUMBO</t>
  </si>
  <si>
    <t>FP/ATVD-230/05</t>
  </si>
  <si>
    <t>FP/ATVD-227/05</t>
  </si>
  <si>
    <t>FP/ATVD-224/05</t>
  </si>
  <si>
    <t xml:space="preserve">ENFRIADOR CALENTADOR DE AGUA </t>
  </si>
  <si>
    <t>PURESA</t>
  </si>
  <si>
    <t>HC-500</t>
  </si>
  <si>
    <t>FP/ATVD-231/05</t>
  </si>
  <si>
    <t>FP/ATVD-233/05</t>
  </si>
  <si>
    <t>FP/ATVD-229/05</t>
  </si>
  <si>
    <t>FP/ATVD226/05</t>
  </si>
  <si>
    <t>18 CESTOS</t>
  </si>
  <si>
    <t>JOY</t>
  </si>
  <si>
    <t>FPVDAIPET 050</t>
  </si>
  <si>
    <t>MESA OVALADA 2.40 CHERRY</t>
  </si>
  <si>
    <t>OFFICE DEPOT</t>
  </si>
  <si>
    <t>0149-A-000001217</t>
  </si>
  <si>
    <t>FPVDAIPET 051</t>
  </si>
  <si>
    <t>ESCRITORIO</t>
  </si>
  <si>
    <t>FPVDAIPET 052</t>
  </si>
  <si>
    <t>SILLA PRESIDENCIAL</t>
  </si>
  <si>
    <t>28776</t>
  </si>
  <si>
    <t>SILLA PRESIDENCIAL DE PIEL ITALIA</t>
  </si>
  <si>
    <t>FPVDAIPET 053</t>
  </si>
  <si>
    <t>SILLA EJECUTIVA</t>
  </si>
  <si>
    <t>36213</t>
  </si>
  <si>
    <t>SILLA EJECUTIVA DE PIEL PLUS</t>
  </si>
  <si>
    <t>FPVDAIPET 054</t>
  </si>
  <si>
    <t>FPVDAIPET 055</t>
  </si>
  <si>
    <t>FPVDAIPET 056</t>
  </si>
  <si>
    <t>FPVDAIPET 057</t>
  </si>
  <si>
    <t>FPVDAIPET 058</t>
  </si>
  <si>
    <t>FPVDAIPET 059</t>
  </si>
  <si>
    <t>FPVDAIPET 060</t>
  </si>
  <si>
    <t>FPVDAIPET 061</t>
  </si>
  <si>
    <t>FPVDAIPET 062</t>
  </si>
  <si>
    <t>DERECHOS HUMANOS</t>
  </si>
  <si>
    <t>FPVDYDAIPET 037</t>
  </si>
  <si>
    <t>MICROGRABADORA</t>
  </si>
  <si>
    <t>RADIOSHAK</t>
  </si>
  <si>
    <t>MOD.1401163</t>
  </si>
  <si>
    <t>COLOR NEGRO</t>
  </si>
  <si>
    <t>PDR. 21 DIC 09</t>
  </si>
  <si>
    <t>COLOR CHOCOLATE</t>
  </si>
  <si>
    <t>TAURUS</t>
  </si>
  <si>
    <t>SILLA DE VISITA PIEL CAFÉ</t>
  </si>
  <si>
    <t>COLOR CAFÉ</t>
  </si>
  <si>
    <t>PLASTICO GRUESO TRANSPARENTE</t>
  </si>
  <si>
    <t>NEGRO</t>
  </si>
  <si>
    <t>CAFÉ CLARO</t>
  </si>
  <si>
    <t>8500 A PLUS</t>
  </si>
  <si>
    <t>IMPRESORA COLOR NEGRO</t>
  </si>
  <si>
    <t xml:space="preserve">ASPIRADORA </t>
  </si>
  <si>
    <t>SHOP VAC</t>
  </si>
  <si>
    <t>COLOR AMARILLO DE 12 GAL.</t>
  </si>
  <si>
    <t>BODEGA</t>
  </si>
  <si>
    <t>SALA BALI</t>
  </si>
  <si>
    <t>BALI 221S</t>
  </si>
  <si>
    <t>PERSI DG TAGO</t>
  </si>
  <si>
    <t>COLOR NARANJA CON CINCO COJINES</t>
  </si>
  <si>
    <t>TX-14</t>
  </si>
  <si>
    <t>TERRENOS</t>
  </si>
  <si>
    <t>PCH. 4302 JUN 2003</t>
  </si>
  <si>
    <t>FACTURA No.</t>
  </si>
  <si>
    <t>FECHA</t>
  </si>
  <si>
    <t>ERCA CONSTRUCTORES S.A DE C.V</t>
  </si>
  <si>
    <t>ANTICIPO</t>
  </si>
  <si>
    <t>ESTIMACION</t>
  </si>
  <si>
    <t>IVA</t>
  </si>
  <si>
    <t>COSTO ESTIMACION</t>
  </si>
  <si>
    <t xml:space="preserve">CONSTRUCTORA E INMOBILIARIA ITZEL S.A </t>
  </si>
  <si>
    <t xml:space="preserve">ANTICIPO </t>
  </si>
  <si>
    <t>IVA DEL ANTICIPO</t>
  </si>
  <si>
    <t>P.DR.03 JUN03</t>
  </si>
  <si>
    <t>UNIDAD CHEVY 3 PUERTAS B STD S/AIRE</t>
  </si>
  <si>
    <t>CHEVROLET</t>
  </si>
  <si>
    <t>DEPRECIACIÓN ACUMULADA ASIENTO DE APERTURA</t>
  </si>
  <si>
    <t>MAQUINARIA Y HERRAMIENTAS</t>
  </si>
  <si>
    <t xml:space="preserve">                                                                                                       </t>
  </si>
  <si>
    <t>FP/ATVD-160/05</t>
  </si>
  <si>
    <t xml:space="preserve">COLUMPIO </t>
  </si>
  <si>
    <t>FP/ATVD-161/05</t>
  </si>
  <si>
    <t xml:space="preserve">RESBALADILLA </t>
  </si>
  <si>
    <t>FP/ATVD-162/05</t>
  </si>
  <si>
    <t>SUBE Y BAJA</t>
  </si>
  <si>
    <t>FP/ATVD-283/05</t>
  </si>
  <si>
    <t>COLOR NATURAL</t>
  </si>
  <si>
    <t xml:space="preserve"> </t>
  </si>
  <si>
    <t>FPVDAIPET 049</t>
  </si>
  <si>
    <t>GRABADORA DIGITAL DE VOZ</t>
  </si>
  <si>
    <t>VANTA</t>
  </si>
  <si>
    <t>VOX 70</t>
  </si>
  <si>
    <t>CAMARA FOTOGRAFICA DIGITAL</t>
  </si>
  <si>
    <t>DSC-W80</t>
  </si>
  <si>
    <t>612673 GRABA HASTA 10 HRS.</t>
  </si>
  <si>
    <t>8292515 CALIDAD DE 7 MPX, ZOOM OPTICO 3X, 28MB EN MEMORIA, PANTALLA LCD DE 2.5"CON MEMORIA DE 1GB.</t>
  </si>
  <si>
    <t>FPVDAIPET 071</t>
  </si>
  <si>
    <t>MONITOR</t>
  </si>
  <si>
    <t xml:space="preserve">HP </t>
  </si>
  <si>
    <t>W1907</t>
  </si>
  <si>
    <t>CNN73722HT</t>
  </si>
  <si>
    <t>FPVDAIPET 072</t>
  </si>
  <si>
    <t>CPU</t>
  </si>
  <si>
    <t>WN4300R</t>
  </si>
  <si>
    <t>CNH7440D8G</t>
  </si>
  <si>
    <t>FPVDAIPET 073</t>
  </si>
  <si>
    <t>TECLADO</t>
  </si>
  <si>
    <t>5189URF (K)</t>
  </si>
  <si>
    <t>BR73202596</t>
  </si>
  <si>
    <t>FPVDAIPET 074</t>
  </si>
  <si>
    <t xml:space="preserve">MOUSE </t>
  </si>
  <si>
    <t>5189URF (M)</t>
  </si>
  <si>
    <t>BM73202595</t>
  </si>
  <si>
    <t>FPVDAIPET 075</t>
  </si>
  <si>
    <t>IMPRESORA</t>
  </si>
  <si>
    <t>LASER JET 2600n</t>
  </si>
  <si>
    <t>CNHC7943L3</t>
  </si>
  <si>
    <t>FPVDAIPET 076</t>
  </si>
  <si>
    <t>UNIDAD DE ALMACENAMIENTO</t>
  </si>
  <si>
    <t>FPVDAIPET 077</t>
  </si>
  <si>
    <t>CAMARA WEB</t>
  </si>
  <si>
    <t>FPVDAIPET 078</t>
  </si>
  <si>
    <t>CONTROL REMOTO</t>
  </si>
  <si>
    <t>FPVDAIPET080</t>
  </si>
  <si>
    <t>COMPUTADORA SONY VAIO SZ691, PROC. CORE 2 DUO A 2GB RAM, DD D E 160 GB, DVD-RW, PANTALLA DE 13.3", XINDOWSVISTA. N/S: 5B2A2293</t>
  </si>
  <si>
    <t>SONY VAIO</t>
  </si>
  <si>
    <t>SZ691</t>
  </si>
  <si>
    <t>5B2A2293</t>
  </si>
  <si>
    <t>FPVDAIPET 079</t>
  </si>
  <si>
    <t>ESCRITORIO SECRETARIAL CON DOS GABETAS, LINEA SPAZIO.</t>
  </si>
  <si>
    <t>SPAZIO</t>
  </si>
  <si>
    <t>MOBILIARIO Y EQUIPO DE OFICINA</t>
  </si>
  <si>
    <t>EQUIPO DE TRANSPORTE</t>
  </si>
  <si>
    <t>MATERIAL Y EQUIPO DIVERSO</t>
  </si>
  <si>
    <t>BIENES CULTURALES</t>
  </si>
  <si>
    <t>MAQUINARIA Y HERRAMIENTA</t>
  </si>
  <si>
    <t>EQUIPO Y APARATOS DE COMUNICACIÓN</t>
  </si>
  <si>
    <t>EDIFICIOS</t>
  </si>
  <si>
    <t>BIENES INMUEBLES</t>
  </si>
  <si>
    <t>BIENES MUEBLES</t>
  </si>
  <si>
    <t>RESGUARDO A FAVOR DE</t>
  </si>
  <si>
    <t>FP/ATVD-032/05</t>
  </si>
  <si>
    <t>FLOR PÈREZ SÀNCHEZ</t>
  </si>
  <si>
    <t>FP/ATVD-001/05</t>
  </si>
  <si>
    <t>SILLA SECRETARIAL</t>
  </si>
  <si>
    <t>ELEVACIÓN NEUMATICA COLOR NEGRO</t>
  </si>
  <si>
    <t>DIRECCIÒN</t>
  </si>
  <si>
    <t>FP/ATVD-002/05</t>
  </si>
  <si>
    <t>FP/ATVD-003/05</t>
  </si>
  <si>
    <t>FP/ATVD-005/05</t>
  </si>
  <si>
    <t>ANEXO ADMTIVO</t>
  </si>
  <si>
    <t>FP/ATVD-006/05</t>
  </si>
  <si>
    <t>FP/ATVD-007/05</t>
  </si>
  <si>
    <t>FP/ATVD-008/05</t>
  </si>
  <si>
    <t>FP/ATVD-009/05</t>
  </si>
  <si>
    <t>FP/ATVD-010/05</t>
  </si>
  <si>
    <t>FP/ATVD-011/05</t>
  </si>
  <si>
    <t>FP/ATVD-012/05</t>
  </si>
  <si>
    <t>FP/ATVD-013/05</t>
  </si>
  <si>
    <t>FP/ATVD-014/05</t>
  </si>
  <si>
    <t>FP/ATVD-015/05</t>
  </si>
  <si>
    <t>FP/ATVD-016/05</t>
  </si>
  <si>
    <t>FP/ATVD-017/05</t>
  </si>
  <si>
    <t>FP/ATVD-018/05</t>
  </si>
  <si>
    <t>FP/ATVD-019/05</t>
  </si>
  <si>
    <t>FP/ATVD-020/05</t>
  </si>
  <si>
    <t>FP/ATVD-021/05</t>
  </si>
  <si>
    <t>FP/ATVD-022/05</t>
  </si>
  <si>
    <t>FP/ATVD-023/05</t>
  </si>
  <si>
    <t>FP/ATVD-024/05</t>
  </si>
  <si>
    <t>FP/ATVD-025/05</t>
  </si>
  <si>
    <t>FP/ATVD-004/05</t>
  </si>
  <si>
    <t>LUDOTECA</t>
  </si>
  <si>
    <t>AREA JURÍDICA</t>
  </si>
  <si>
    <t>FP/ATVD-300/05</t>
  </si>
  <si>
    <t>FP/ATVD-035/05</t>
  </si>
  <si>
    <t>SILLA DE VISITA</t>
  </si>
  <si>
    <t>MOD. ISSO-05</t>
  </si>
  <si>
    <t>TAPIZADA EN COLOR NEGRO</t>
  </si>
  <si>
    <t>FP/ATVD-036/05</t>
  </si>
  <si>
    <t>FP/ATVD-037/05</t>
  </si>
  <si>
    <t>FP/ATVD-038/05</t>
  </si>
  <si>
    <t>FP/ATVD-039/05</t>
  </si>
  <si>
    <t>FP/ATVD-040/05</t>
  </si>
  <si>
    <t>FP/ATVD-041/05</t>
  </si>
  <si>
    <t>FP/ATVD-042/05</t>
  </si>
  <si>
    <t>FP/ATVD-043/05</t>
  </si>
  <si>
    <t>FP/ATVD-044/05</t>
  </si>
  <si>
    <t>FP/ATVD-045/05</t>
  </si>
  <si>
    <t>FP/ATVD-046/05</t>
  </si>
  <si>
    <t>FP/ATVD-047/05</t>
  </si>
  <si>
    <t>FP/ATVD-048/05</t>
  </si>
  <si>
    <t>FP/ATVD-049/05</t>
  </si>
  <si>
    <t>FP/ATVD-057/05</t>
  </si>
  <si>
    <t>FP/ATVD-052/05</t>
  </si>
  <si>
    <t>FP/ATVD-053/05</t>
  </si>
  <si>
    <t>FP/ATVD-107/05</t>
  </si>
  <si>
    <t>FP/ATVD-111/05</t>
  </si>
  <si>
    <t>FP/ATVD-061/05</t>
  </si>
  <si>
    <t>FP/ATVD-059/05</t>
  </si>
  <si>
    <t>B675 LINEA HAKEN</t>
  </si>
  <si>
    <t>FP/ATVD-062/05</t>
  </si>
  <si>
    <t>B645 LINEA HAKEN</t>
  </si>
  <si>
    <t>FP/ATVD-051/05</t>
  </si>
  <si>
    <t>FP/ATVD-108/05</t>
  </si>
  <si>
    <t>FP/ATVD-055/05</t>
  </si>
  <si>
    <t>FP/ATVD-056/05</t>
  </si>
  <si>
    <t>FP/ATVD-058/05</t>
  </si>
  <si>
    <t>RUBEN TERAN AGUILA</t>
  </si>
  <si>
    <t>FP/ATVD-063/05</t>
  </si>
  <si>
    <t>FP/ATVD-064/05</t>
  </si>
  <si>
    <t>FP/ATVD-065/05</t>
  </si>
  <si>
    <t>LOCKER 3 PUERTAS 1,80 M</t>
  </si>
  <si>
    <t>FP/ATVD-301/05</t>
  </si>
  <si>
    <t>FP/ATVD-066/05</t>
  </si>
  <si>
    <t>FP/ATVD-067/05</t>
  </si>
  <si>
    <t>PASILLO BAÑOS PERSONAL</t>
  </si>
  <si>
    <t>FP/ATVD-060/05</t>
  </si>
  <si>
    <t>FP/ATV/028/05</t>
  </si>
  <si>
    <t>MESA AUXILIAR</t>
  </si>
  <si>
    <t>3670 LINEA HAKEN</t>
  </si>
  <si>
    <t>FP/ATV/027/05</t>
  </si>
  <si>
    <t>FP/ATV/026/05</t>
  </si>
  <si>
    <t>FP/ATVD-069/05</t>
  </si>
  <si>
    <t>SILLA APILABLE</t>
  </si>
  <si>
    <t>MOD. ISSOSMART</t>
  </si>
  <si>
    <t>SILLA APILABLE TUBULAR ELIPTICA</t>
  </si>
  <si>
    <t>FP/ATVD-070/05</t>
  </si>
  <si>
    <t>FP/ATVD-071/05</t>
  </si>
  <si>
    <t>FP/ATVD-072/05</t>
  </si>
  <si>
    <t>FP/ATVD-073/05</t>
  </si>
  <si>
    <t>FP/ATVD-074/05</t>
  </si>
  <si>
    <t>FP/ATVD-075/05</t>
  </si>
  <si>
    <t>FP/ATVD-076/05</t>
  </si>
  <si>
    <t>FP/ATVD-077/05</t>
  </si>
  <si>
    <t>FP/ATVD-078/05</t>
  </si>
  <si>
    <t>FP/ATVD-079/05</t>
  </si>
  <si>
    <t>FP/ATVD-080/05</t>
  </si>
  <si>
    <t>FP/ATVD-081/05</t>
  </si>
  <si>
    <t>FP/ATVD-082/05</t>
  </si>
  <si>
    <t>FP/ATVD-083/05</t>
  </si>
  <si>
    <t>FP/ATVD-084/05</t>
  </si>
  <si>
    <t>FP/ATVD-085/05</t>
  </si>
  <si>
    <t>FP/ATVD-086/05</t>
  </si>
  <si>
    <t>FP/ATVD-087/05</t>
  </si>
  <si>
    <t>FP/ATVD-088/05</t>
  </si>
  <si>
    <t>FP/ATVD-089/05</t>
  </si>
  <si>
    <t>FP/ATVD-090/05</t>
  </si>
  <si>
    <t>FP/ATVD-091/05</t>
  </si>
  <si>
    <t>FP/ATVD-092/05</t>
  </si>
  <si>
    <t>FPVDYAIPET026/05</t>
  </si>
  <si>
    <t>FP/ATVD-244/05</t>
  </si>
  <si>
    <t>FP/ATVD-245/05</t>
  </si>
  <si>
    <t>FP/ATVD-098/05</t>
  </si>
  <si>
    <t>LEONARDO E. ESTEVEZ</t>
  </si>
  <si>
    <t>FP/ATVD-113/05</t>
  </si>
  <si>
    <t>FP/ATVD-101/05</t>
  </si>
  <si>
    <t>FP/ATVD-102/05</t>
  </si>
  <si>
    <t>FP/ATVD-103/05</t>
  </si>
  <si>
    <t>FP/ATVD-104/05</t>
  </si>
  <si>
    <t>FP/ATVD-105/05</t>
  </si>
  <si>
    <t>FP/ATVD-106/05</t>
  </si>
  <si>
    <t>FP/ATVD-109/05</t>
  </si>
  <si>
    <t>FP/ATVD-054/05</t>
  </si>
  <si>
    <t>FP/ATVD-110/05</t>
  </si>
  <si>
    <t>FP/ATVD-046A/05</t>
  </si>
  <si>
    <t>FP/ATVD-112/05</t>
  </si>
  <si>
    <t>FP/ATVD-119/05</t>
  </si>
  <si>
    <t>ARCHIVERO METALICO</t>
  </si>
  <si>
    <t>COLOR GRIS CON CUATRO GAVETAS</t>
  </si>
  <si>
    <t>FP/ATVD-118/05</t>
  </si>
  <si>
    <t>FP/ATVD-234/05</t>
  </si>
  <si>
    <t>FP/ATVD-235/05</t>
  </si>
  <si>
    <t>FP/ATVD-236/05</t>
  </si>
  <si>
    <t>ESCRITORIO EN ARCO COLOR MAPLE</t>
  </si>
  <si>
    <t>FRANCISCO MIXCOATL ANTONIO</t>
  </si>
  <si>
    <t>FPVDAIPET 001/11</t>
  </si>
  <si>
    <t>FPVDAIPET 002/11</t>
  </si>
  <si>
    <t>FPVDAIPET 003/11</t>
  </si>
  <si>
    <t>FPVDAIPET 004/11</t>
  </si>
  <si>
    <t>FPVDAIPET 005/11</t>
  </si>
  <si>
    <t>FPVDAIPET 006/11</t>
  </si>
  <si>
    <t>FPVDAIPET 007/11</t>
  </si>
  <si>
    <t>FPVDAIPET 008/11</t>
  </si>
  <si>
    <t>FPVDAIPET 009/11</t>
  </si>
  <si>
    <t>FPVDAIPET 010/11</t>
  </si>
  <si>
    <t>FPVDAIPET 012/11</t>
  </si>
  <si>
    <t>FPVDAIPET 013/11</t>
  </si>
  <si>
    <t>FPVDAIPET 014/11</t>
  </si>
  <si>
    <t>FPVDAIPET 015/11</t>
  </si>
  <si>
    <t>FLOR PÉREZ SÁNCHEZ</t>
  </si>
  <si>
    <t>FPVDAIPET 011/11</t>
  </si>
  <si>
    <t>FPVDAIPET 016/11</t>
  </si>
  <si>
    <t>POLIZA DIARIO 9   17/12/04</t>
  </si>
  <si>
    <t>POLIZA CH.4323   19/03/05</t>
  </si>
  <si>
    <t>POLIZA DIARIO 4   03/11/06</t>
  </si>
  <si>
    <t>POLIZA DIARIO 22   28/11/08</t>
  </si>
  <si>
    <t>POLIZA DIARIO 15   31/03/11</t>
  </si>
  <si>
    <t>POLIZA DIARIO 13   28/04/11</t>
  </si>
  <si>
    <t>POLIZA DIARIO 15   29/04/11</t>
  </si>
  <si>
    <t>POLIZA DIARIO 21   31/12/09</t>
  </si>
  <si>
    <t>SALDO INICIAL    31/AJT/00</t>
  </si>
  <si>
    <t>VALOR ORIGINAL</t>
  </si>
  <si>
    <t>GRABADORA DIGITAL</t>
  </si>
  <si>
    <t>POLIZA CH.1019     11/09/07</t>
  </si>
  <si>
    <t>POLIZA CH. 1019    11/09/07</t>
  </si>
  <si>
    <t>POLIZA CH. 1172    01/02/08</t>
  </si>
  <si>
    <t>POLIZA CH. 1654    27/08/09</t>
  </si>
  <si>
    <t>SALDO EN LA CUENTA MOBILIARIO</t>
  </si>
  <si>
    <t>FPVDAIPET 048</t>
  </si>
  <si>
    <t xml:space="preserve">          </t>
  </si>
  <si>
    <t>FPVDAIPET 063</t>
  </si>
  <si>
    <t>CONJUNTO EJECUTIVO ERGOS</t>
  </si>
  <si>
    <t>ERGOS</t>
  </si>
  <si>
    <t>3012004NL</t>
  </si>
  <si>
    <t>CONJUNTO EJECUTIVO CONSTA DE: ESCRITORIO PENINSULAR DE 1.70*.70*75M, PUENTE DE .90*.50M CON CREDENZA ABIERTA DE 1.60*.50*.75M Y CAJONERA FIJA CON GAVETA CON CERRADURA</t>
  </si>
  <si>
    <t>AUTOMOVIL PARA CINCO PASAJEROS DE COLOR NARANJA METÁLICO, NÚMERO DE SERIE: 3G1SF21684S148622, NÚM. MOTOR: HECHO EN MÉXICO, CILINDRAJE: 4 CILINDROS, MARCA: CHEVROLET, CAPACIDAD: 40 LITROS, PLACAS: XUF8488.</t>
  </si>
  <si>
    <t>SALDO DE EQUIPO DE TRANSPORTE</t>
  </si>
  <si>
    <t>ASIENTO DE APERTURA</t>
  </si>
  <si>
    <t>DEPRECIACIÓN ACUMULADA</t>
  </si>
  <si>
    <t>SALDO</t>
  </si>
  <si>
    <t>UN  DISCO  WINDOWS PROFESIONAL</t>
  </si>
  <si>
    <t>No. PARTE: E-85-02292</t>
  </si>
  <si>
    <t>No. PARTE: 588 02864</t>
  </si>
  <si>
    <t>FP/ATVD-04/05/05-6</t>
  </si>
  <si>
    <t>FP/ATVD-164/05</t>
  </si>
  <si>
    <t>SERIE: CNFB088938</t>
  </si>
  <si>
    <t>TARJETA DE RED INALAMBRICA</t>
  </si>
  <si>
    <t>FP/ATVD-4/05/05-3A</t>
  </si>
  <si>
    <t>FP/ATVD-4/05/05-3B</t>
  </si>
  <si>
    <t>FP/ATVD-4/05/05-3C</t>
  </si>
  <si>
    <t>POLIZA DIARIO        12   17/DIC/04</t>
  </si>
  <si>
    <t>POLIZA CHEQUE 4320  15/02/05</t>
  </si>
  <si>
    <t>POLIZA CHEQUE 0286  21/02/05</t>
  </si>
  <si>
    <t>POLIZA CHEQUE 0300  08/03/05</t>
  </si>
  <si>
    <t>POLIZA DIARIO        18   20/04/07</t>
  </si>
  <si>
    <t>FPVDAIPET047</t>
  </si>
  <si>
    <t>MOUSE</t>
  </si>
  <si>
    <t>5187VRF2+</t>
  </si>
  <si>
    <t>SERIE:BR64903825, COLOR GRIS</t>
  </si>
  <si>
    <t>FPVDAIPET039</t>
  </si>
  <si>
    <t>FPVDAIPET044</t>
  </si>
  <si>
    <t>WI9B</t>
  </si>
  <si>
    <t>SERIE: CNC703PN25</t>
  </si>
  <si>
    <t>FPVDAIPET043</t>
  </si>
  <si>
    <t>FPVDAIPET042</t>
  </si>
  <si>
    <t>577401A</t>
  </si>
  <si>
    <t>SERIE: CNH7011W02, HP PAVILLION SLIMLINE S774 0LAPC</t>
  </si>
  <si>
    <t>CNH6BZ1YX</t>
  </si>
  <si>
    <t>COLOR LASER JET 2600N</t>
  </si>
  <si>
    <t>FPVDAIPET037</t>
  </si>
  <si>
    <t>SERIE: CNC703PN2F</t>
  </si>
  <si>
    <t>FPVDAIPET041</t>
  </si>
  <si>
    <t>S77Ia</t>
  </si>
  <si>
    <t>SERIE: CNH7011VXP HP PAVILLION SLIMLINE</t>
  </si>
  <si>
    <t>FPVDAIPET036</t>
  </si>
  <si>
    <t>FPVDAIPET040</t>
  </si>
  <si>
    <t>FPVDAIPET046</t>
  </si>
  <si>
    <t>BM64903716</t>
  </si>
  <si>
    <t>5187URF2+</t>
  </si>
  <si>
    <t>BR64903845</t>
  </si>
  <si>
    <t>CNHN6BZ1W7</t>
  </si>
  <si>
    <t>POLIZA CHEQUE 1172  01/02/08</t>
  </si>
  <si>
    <t>POLIZA DIARIO 15           31/03/11</t>
  </si>
  <si>
    <t>POLIZA DIARIO 1              04/10/11</t>
  </si>
  <si>
    <t>POLIZA DIARIO 15           31/01/12</t>
  </si>
  <si>
    <t>FPVDAIPET 064</t>
  </si>
  <si>
    <t>FPVDAIPET 065</t>
  </si>
  <si>
    <t>FPVDAIPET 066</t>
  </si>
  <si>
    <t>CNN73721Y4</t>
  </si>
  <si>
    <t>CNH7440D8V</t>
  </si>
  <si>
    <t>BR7303678</t>
  </si>
  <si>
    <t>BM73203679</t>
  </si>
  <si>
    <t>FPVDAIPET 067</t>
  </si>
  <si>
    <t>FPVDAIPET 068</t>
  </si>
  <si>
    <t>CNHC7943L6</t>
  </si>
  <si>
    <t>FPVDAIPET 069</t>
  </si>
  <si>
    <t>FPVDAIPET 070</t>
  </si>
  <si>
    <t>FP/ATVD-302/05</t>
  </si>
  <si>
    <t>CABLE USB A-B MANHATTAN 317856 1,8 MTRS.</t>
  </si>
  <si>
    <t>FPVDAIPET 017/11</t>
  </si>
  <si>
    <t>FPVDAIPET 018/11</t>
  </si>
  <si>
    <t>FPVDAIPET 019/11</t>
  </si>
  <si>
    <t>FPVDAIPET 020/11</t>
  </si>
  <si>
    <t>COMPUTADORA  ENSAMBLADA</t>
  </si>
  <si>
    <t>COMPUTADORA CON MONITOR DE 17", PROCESADOR AMD, 4 GB EN RAM, TARJETA DE RED INHALAMBRICA, TECLADO MULTIMEDIA Y MOUSE ERGONOMICO, BOCINAS DE ESCRITORIO</t>
  </si>
  <si>
    <t>FPVDAIPET 021/11</t>
  </si>
  <si>
    <t>FPVDAIPET 01/12</t>
  </si>
  <si>
    <t>IMPRESORA MULTIFUNCIONAL</t>
  </si>
  <si>
    <t>EPSON</t>
  </si>
  <si>
    <t>A3348</t>
  </si>
  <si>
    <t>FPVDAIPET 02/12</t>
  </si>
  <si>
    <t>ASIENTO DE APERTURA      P  DR    1   31/AJT/00</t>
  </si>
  <si>
    <t>POLIZA CHEQUE  1788   23/JUL/02</t>
  </si>
  <si>
    <t>POLIZA CHEQUE  2080     2/JUL/02</t>
  </si>
  <si>
    <t>POLIZA DIARIO          01     8/DIC/04</t>
  </si>
  <si>
    <t>POLIZA DIARIO          10     17/DIC/04</t>
  </si>
  <si>
    <t>POLIZA DIARIO          11     17/DIC/04</t>
  </si>
  <si>
    <t>POLIZA CHEQUE  0260     1/FEB/05</t>
  </si>
  <si>
    <t>POLIZA CHEQUE  4311     1/FEB/05</t>
  </si>
  <si>
    <t>POLIZA CHEQUE  4312     1/FEB/05</t>
  </si>
  <si>
    <t>POLIZA CHEQUE  4317     8/FEB/05</t>
  </si>
  <si>
    <t>POLIZA CHEQUE  0282    15/FEB/05</t>
  </si>
  <si>
    <t>POLIZA DIARIO          02    15/FEB/05</t>
  </si>
  <si>
    <t>POLIZA DIARIO          04    18/FEB/05</t>
  </si>
  <si>
    <t>POLIZA CHEQUE  4322    19/MAR/05</t>
  </si>
  <si>
    <t>POLIZA DIARIO          04    20/ABR/05</t>
  </si>
  <si>
    <t>POLIZA DIARIO          03    01/MAY/05</t>
  </si>
  <si>
    <t>POLIZA DIARIO          07    01/JUL/05</t>
  </si>
  <si>
    <t>POLIZA DIARIO          07    14/OCT/11</t>
  </si>
  <si>
    <t>POLIZA DIARIO          11   03/NOV/06</t>
  </si>
  <si>
    <t>POLIZA DIARIO          15   30/JUN/11</t>
  </si>
  <si>
    <t>CANCELACION DE DEPRECIACIÓN</t>
  </si>
  <si>
    <t>ASIENTO DE APERTURA DE DEPRECIACIÓN ACUMULADA</t>
  </si>
  <si>
    <t>FPVDYAIPET029</t>
  </si>
  <si>
    <t>GET-F-003</t>
  </si>
  <si>
    <t>PRINTAFORM</t>
  </si>
  <si>
    <t>HAMBURGO</t>
  </si>
  <si>
    <t>GET-F-004</t>
  </si>
  <si>
    <t>ARCHIVERO METÁLICO</t>
  </si>
  <si>
    <t>ARCHIVERO</t>
  </si>
  <si>
    <t>COLOR GRIS CON 4 GAVETAS</t>
  </si>
  <si>
    <t>GET-F-005</t>
  </si>
  <si>
    <t>GET-F-002</t>
  </si>
  <si>
    <t>SILLÓN EJECUTIVO</t>
  </si>
  <si>
    <t>CGI</t>
  </si>
  <si>
    <t>SILLON EJECUTIVO DE COLOR NEGRO</t>
  </si>
  <si>
    <t>CTG21R</t>
  </si>
  <si>
    <t>COLOR GRIS DE 21" CON CONTROL REMOTO</t>
  </si>
  <si>
    <t>BBB119497</t>
  </si>
  <si>
    <t xml:space="preserve">TELEVISOR </t>
  </si>
  <si>
    <t>GET-F-006</t>
  </si>
  <si>
    <t>GET-F-007</t>
  </si>
  <si>
    <t>RADIO GRABADORA</t>
  </si>
  <si>
    <t>RADIO GRABADORA RX</t>
  </si>
  <si>
    <t>VIDEO CASETERA</t>
  </si>
  <si>
    <t>JVC</t>
  </si>
  <si>
    <t>COLOR GRIS, VIDEO CASETERA DE CUATRO CABEZAS</t>
  </si>
  <si>
    <t>ESPEJO CON MARCO DE ALUMINIO</t>
  </si>
  <si>
    <t>FP/ATVD-286/05</t>
  </si>
  <si>
    <t xml:space="preserve">ESPEJO </t>
  </si>
  <si>
    <t>BAÑOS PERSONAL DAMAS</t>
  </si>
  <si>
    <t>TEATRIN 2 PUERTAS DE 0,70 X 1,60 Y 1 ENTREPAÑO DE 1,20 X ,30</t>
  </si>
  <si>
    <t>FPVDYAIPET-285/05</t>
  </si>
  <si>
    <t>COLOR NATURAL DE TRES GAVETAS</t>
  </si>
  <si>
    <t>MUEBLE DE MADERA 40 * 60 * 75</t>
  </si>
  <si>
    <t>MUEBLE DE MADERA 40 * 40 * 80</t>
  </si>
  <si>
    <t>FPVDYAIPET-282/05</t>
  </si>
  <si>
    <t>SARTEN PLATA /AZUL CAPRI 24 CM.</t>
  </si>
  <si>
    <t>SIN</t>
  </si>
  <si>
    <t>VERDES</t>
  </si>
  <si>
    <t>TAZÓN FRUTA 133 ML.</t>
  </si>
  <si>
    <t>1 MAL ESTADO, 2 REGULAR.</t>
  </si>
  <si>
    <t>2 MAL ESTADO, 1 REGULAR.</t>
  </si>
  <si>
    <t>15 MAL ESTADO Y 15 REGULAR.</t>
  </si>
  <si>
    <t>1 MAL ESTADO, 1 REGULAR</t>
  </si>
  <si>
    <t>FP/ATVD-211/05 Y FP/ATVD-212/05</t>
  </si>
  <si>
    <t xml:space="preserve">EXTRACTOR </t>
  </si>
  <si>
    <t>COCINA Y BAJAS</t>
  </si>
  <si>
    <t>BAJAS Y COCINA</t>
  </si>
  <si>
    <t>PLASTICO</t>
  </si>
  <si>
    <t xml:space="preserve">                                                                                                                                                                                                                                                                                                                                                                         </t>
  </si>
  <si>
    <t>FP/ATVD-210/05</t>
  </si>
  <si>
    <t>JAVIER RODRIGUEZ RODRIGUEZ</t>
  </si>
  <si>
    <t>COMBO DVD Y VHS MARCA SONY</t>
  </si>
  <si>
    <t>SALA DE T.V PLANTA ALTA</t>
  </si>
  <si>
    <t>GUILLERMINA DE LA ROSA CALDERON</t>
  </si>
  <si>
    <t>CUBIERTA FORMADA CON FORMAICA</t>
  </si>
  <si>
    <t>PIEDAD GONZALEZ GARCIA</t>
  </si>
  <si>
    <t>CAMA CON CABECERA TUBULAR</t>
  </si>
  <si>
    <t>FP/ATVD-150/05</t>
  </si>
  <si>
    <t>DORMITORIO NIÑOS 1</t>
  </si>
  <si>
    <t>COMERCIALIZADORA PALACIO DEL MUEBLE DE CHIAUTEMPAN S.A DE C.V</t>
  </si>
  <si>
    <t>MADERA COLOR NATURAL</t>
  </si>
  <si>
    <t>CRISTALERIAS MEXICANAS S.A DE C.V</t>
  </si>
  <si>
    <t>CC1355</t>
  </si>
  <si>
    <t>GUILLERMINA DE LA ROSA CALDERÓN</t>
  </si>
  <si>
    <t xml:space="preserve">DE MADERA DE PINO  </t>
  </si>
  <si>
    <t>HORNO DAEWOO CLAVE KOR-161</t>
  </si>
  <si>
    <t>VICTOR MONTIEL ZEMPOALTECA</t>
  </si>
  <si>
    <t>BLANCO</t>
  </si>
  <si>
    <t>COLOR BLANCO 14 PIES CUBICOS</t>
  </si>
  <si>
    <t>REFRIGERADOR MARCA MABE RM77WD48</t>
  </si>
  <si>
    <t xml:space="preserve">TOSTADOR DE PAN </t>
  </si>
  <si>
    <t>CAMPANA MARCA MABE CM-8091</t>
  </si>
  <si>
    <t>ACERO INOXIDABLE</t>
  </si>
  <si>
    <t>ALMACENADORA E.J.SA DE C.V</t>
  </si>
  <si>
    <t>SIN MARCA</t>
  </si>
  <si>
    <t>SILLA DE PLASTICO</t>
  </si>
  <si>
    <t>9 MALO, 1 REGULAR</t>
  </si>
  <si>
    <t>9 BAJAS Y 1 COCINA</t>
  </si>
  <si>
    <t>5 MALO, 5 REGULAR</t>
  </si>
  <si>
    <t>5 BAJAS, 5 COCINA</t>
  </si>
  <si>
    <t>FP/ATVD-169/05</t>
  </si>
  <si>
    <t>FPVDAIPET 022/11</t>
  </si>
  <si>
    <t>REFRIGERADOR VERTICAL</t>
  </si>
  <si>
    <t>REFRIGERACIÓN COMERCIAL ALPHA DE PUEBLA S.A DE C.V</t>
  </si>
  <si>
    <t>TRES PUERTAS DE SERVICIO, CAP. 55 PIES CUBICOS, EQUIPADO CON DOS COMPRESORES HERMETICOS AUTOCONT. DE 1/3 H.P C/U.</t>
  </si>
  <si>
    <t>FPVDAIPET 023/11</t>
  </si>
  <si>
    <t>BASCULA PEDIATRICA</t>
  </si>
  <si>
    <t>INDUSTRIAS HERNA S.A DE C.V</t>
  </si>
  <si>
    <t>B 128</t>
  </si>
  <si>
    <t>RADIOGRABADORA</t>
  </si>
  <si>
    <t>MP3 CON USB</t>
  </si>
  <si>
    <t>B128</t>
  </si>
  <si>
    <t xml:space="preserve">                                     </t>
  </si>
  <si>
    <t>THELMA CUAPIO AMADOR</t>
  </si>
  <si>
    <t>FP/ATVD-178/04</t>
  </si>
  <si>
    <t>MODULO P/ADMINISTRAR Y ORGANIZAR CABLEADO DE LINEAS TELEFONICAS</t>
  </si>
  <si>
    <t>GASTOS DE INSTALACIÓN</t>
  </si>
  <si>
    <t>IMPORTE</t>
  </si>
  <si>
    <t>POLIZA</t>
  </si>
  <si>
    <t>CONCEPTO</t>
  </si>
  <si>
    <t>EQUIPOS Y APARATOS DE COMUNICACIÓN</t>
  </si>
  <si>
    <t>FPVDAIPET 008/12</t>
  </si>
  <si>
    <t>COLOR NATURAL PARTE DE ARRIBA Y DE COLOR NEGRO LAS PATAS</t>
  </si>
  <si>
    <t>BUEN ESTADO</t>
  </si>
  <si>
    <t>D000709</t>
  </si>
  <si>
    <t>MESA JUNTAS PCH. 542</t>
  </si>
  <si>
    <t>SOFA DE UNA PLAZA</t>
  </si>
  <si>
    <t>FP/ATVD-117/05</t>
  </si>
  <si>
    <t>MOBILIARIO Y EQUIPO</t>
  </si>
  <si>
    <t>POLIZA DIARIO 2             03/05/12</t>
  </si>
  <si>
    <t>FPVDAIPET 04/12</t>
  </si>
  <si>
    <t>ENSAMBLE</t>
  </si>
  <si>
    <t>S/MOD</t>
  </si>
  <si>
    <t>PROCESADOR DUAL CORE, 4 GB EN MEMORIA RAM, GRABADOR CD/DVD, BOCINAS Y TECLADO MULTIMEDIA, MOUSE OPTICO, MONITOR PLANO LED 20".</t>
  </si>
  <si>
    <t>FPVDAIPET 05/12</t>
  </si>
  <si>
    <t>LIC. GABRIELA AYALA CAHUANTZI</t>
  </si>
  <si>
    <t>SMART750XL</t>
  </si>
  <si>
    <t>FPVDAIPET080 A</t>
  </si>
  <si>
    <t>FPVDAIPET080 B</t>
  </si>
  <si>
    <t>FPVDAIPET 1/2004</t>
  </si>
  <si>
    <t>POLIZA DIARIO        08   06/11/07 :DEPREC. ACUMULADA</t>
  </si>
  <si>
    <t>FPVDAIPET 06/12</t>
  </si>
  <si>
    <t>LICUADORA INDUSTRIAL</t>
  </si>
  <si>
    <t>INTERNACIONAL</t>
  </si>
  <si>
    <t>SERIE No. LI5-1008030</t>
  </si>
  <si>
    <t>CAPACIDAD DE 5 LITROS, FABRICADA EN ACERO INOXIDABLE CON TAPA, MOTOR ELECTRICO DE 3/4 H.P., 127 VOLTS.</t>
  </si>
  <si>
    <t>FPVDAIPET 07/12</t>
  </si>
  <si>
    <t>NUEVE CALENTADORES SOLARES</t>
  </si>
  <si>
    <t>SUNNERGY</t>
  </si>
  <si>
    <t>SEI-30-1800/58</t>
  </si>
  <si>
    <t>CAPACIDAD DE 342 LITROS POR GRAVEDAD.</t>
  </si>
  <si>
    <t>219 A</t>
  </si>
  <si>
    <t>AZOTEA</t>
  </si>
  <si>
    <t>POLIZA DIARIO         1      01/05/2012</t>
  </si>
  <si>
    <t>POLIZA DIARIO         14      29/08/2012</t>
  </si>
  <si>
    <t>9 EN MAL ESTADO, 1 REGULAR.</t>
  </si>
  <si>
    <t>2 MALO, 3 REGULAR</t>
  </si>
  <si>
    <t>2 BAJAS, 3 COCINA</t>
  </si>
  <si>
    <t>FPVDAIPET 024/11</t>
  </si>
  <si>
    <t>ASIENTO DE CANCELACIÓN DE DEPRECIACIÓN DE MATERIAL Y EQUIPO DIVERSO.</t>
  </si>
  <si>
    <t>1 MALO Y 1 REGULAR</t>
  </si>
  <si>
    <t>1 REGULAR Y 1 MALO</t>
  </si>
  <si>
    <t>BAJAS R.M</t>
  </si>
  <si>
    <t>FP/ATVD-116A/05A</t>
  </si>
  <si>
    <t>FACT. 285, 286, 287.</t>
  </si>
  <si>
    <t>FACT. 7348</t>
  </si>
  <si>
    <t>FACT. 34417</t>
  </si>
  <si>
    <t>FACT. 0149-A-000001217</t>
  </si>
  <si>
    <t>AJUSTE</t>
  </si>
  <si>
    <t>FACT. POSA17,059,554</t>
  </si>
  <si>
    <t>FACT. 9997</t>
  </si>
  <si>
    <t>FACT. TX-14</t>
  </si>
  <si>
    <t>FACT. 15190</t>
  </si>
  <si>
    <t>FACT. 15879</t>
  </si>
  <si>
    <t>FACT. 14102</t>
  </si>
  <si>
    <t>FACT. D000709</t>
  </si>
  <si>
    <t>MESA DE JUNTAS PTA CURVA 105 X 240 CMS.</t>
  </si>
  <si>
    <t>FACT. A1729</t>
  </si>
  <si>
    <t>FACT. A1731</t>
  </si>
  <si>
    <t>FACT. 88</t>
  </si>
  <si>
    <t>FACT. 1850</t>
  </si>
  <si>
    <t>FACT. 12854</t>
  </si>
  <si>
    <t>FACT. 859</t>
  </si>
  <si>
    <t>FACT. A3348</t>
  </si>
  <si>
    <t>FACT. 906</t>
  </si>
  <si>
    <t>FPVDAIPET045</t>
  </si>
  <si>
    <t>ACCESORIO</t>
  </si>
  <si>
    <t>PN: 5188-3573</t>
  </si>
  <si>
    <t>FACT. 5004</t>
  </si>
  <si>
    <t>BAJAS  R.M</t>
  </si>
  <si>
    <t>FACT. BBB119497</t>
  </si>
  <si>
    <t>FACT. 531 Y 21</t>
  </si>
  <si>
    <t>FACT. 473</t>
  </si>
  <si>
    <t>FACT. 316</t>
  </si>
  <si>
    <t>FACT. 74</t>
  </si>
  <si>
    <t>FACTS. 742, 752, 753, 754, 755, 756, 757. (LA SUMA DE LAS FACTURAS ASCIENDE A $30,501.73, POR LO QUE HAY UNA DIFERENCIA DE $192.39)</t>
  </si>
  <si>
    <t>SE REGISTRA LA DIFERENCIA DE $192.39 DE LA POLIZA DR. 11 DEL 17/12/2004.</t>
  </si>
  <si>
    <t>FACT. 1133</t>
  </si>
  <si>
    <t>FACT. CC 1355</t>
  </si>
  <si>
    <t>FACT. 4005</t>
  </si>
  <si>
    <t>FACT. B128</t>
  </si>
  <si>
    <t>FACT. 219A</t>
  </si>
  <si>
    <t>FACT. 4076</t>
  </si>
  <si>
    <t>FACT. 5</t>
  </si>
  <si>
    <t>CH.319</t>
  </si>
  <si>
    <t>ÚNICAMENTE SE PAGAN BIENES X $37,125.45 P.CH4319 DEL 10/02/05 Y SE CANCELA LA DIFERENCIA DE $13,110.00 EN LA P. DR.4 18/02/05.</t>
  </si>
  <si>
    <t>CANCELACIÓN DE LA DIFERENCIA DEL PASIVO CREADO EN LA POLIZA DR. 10 17/12/04.</t>
  </si>
  <si>
    <t xml:space="preserve">COLADERA MALLA DOBLE 12 CMS. </t>
  </si>
  <si>
    <t>CUCHARA DE SERVICIO LISA</t>
  </si>
  <si>
    <t>VOLTEADOR CHEFF LISO</t>
  </si>
  <si>
    <t>CUCHARON 9.5 OZ</t>
  </si>
  <si>
    <t>CUCHARON 13 OZ</t>
  </si>
  <si>
    <t>CUCHARA CAFÉ FLORESTA</t>
  </si>
  <si>
    <t>TENEDOR</t>
  </si>
  <si>
    <t>CUCHARA PARA SOPA</t>
  </si>
  <si>
    <t>CUCHILLO MESA</t>
  </si>
  <si>
    <t>PALANGANA</t>
  </si>
  <si>
    <t>CONTENEDOR 145 LITROS CON TAPA</t>
  </si>
  <si>
    <t>TORTILLERO TERMICO FAMILIAR</t>
  </si>
  <si>
    <t>BARRIL 10 LITROS TAPA VIDRIO</t>
  </si>
  <si>
    <t xml:space="preserve">SERVILLETERO </t>
  </si>
  <si>
    <t xml:space="preserve">ESCURRIDOR PARA PLATOS </t>
  </si>
  <si>
    <t>ESTANTERIA METÁLICA CON 5 CHAROLAS</t>
  </si>
  <si>
    <t>PORTAGARRAFON</t>
  </si>
  <si>
    <t>DISTRIBUIDORA MEXICANA DE RESTAURANTES S.A DE C.V</t>
  </si>
  <si>
    <t>W0296</t>
  </si>
  <si>
    <t>FACT. W0296 POLIZA CH. 34330 DEL 28/FEB/07.</t>
  </si>
  <si>
    <t>TAZA ESTIBABLE</t>
  </si>
  <si>
    <t>W 0295</t>
  </si>
  <si>
    <t>SARTEN PLATINO 26 CMS.</t>
  </si>
  <si>
    <t>SARTEN PLATINO 24 CMS.</t>
  </si>
  <si>
    <t>SARTEN PLATINO 20 CMS.</t>
  </si>
  <si>
    <t>BUDINERA CON TAPA 16 LITROS</t>
  </si>
  <si>
    <t>OLLA CONVEXA C/ASAS</t>
  </si>
  <si>
    <t>OLLA ALTA CON TAPA 56 LITROS</t>
  </si>
  <si>
    <t>BUDINERA CON TAPA 5.3 LITROS</t>
  </si>
  <si>
    <t>CUBETA 15 LITROS</t>
  </si>
  <si>
    <t>VASO PARA AGUA</t>
  </si>
  <si>
    <t>SALERO BOLA TAPA METAL</t>
  </si>
  <si>
    <t>JARRA 60 OZ.</t>
  </si>
  <si>
    <t>PLATO SOPERO 414 ML.</t>
  </si>
  <si>
    <t>PLATO TRINCHE 23 CMS.</t>
  </si>
  <si>
    <t>PLATO PARA TAZA</t>
  </si>
  <si>
    <t>EXTRACTOR USO RUDO</t>
  </si>
  <si>
    <t>ABRELATAS CON DESTAPADOR</t>
  </si>
  <si>
    <t>EXPRIMIDOR PALANCA TORONJERO JR</t>
  </si>
  <si>
    <t>OLLA EXPRESS 6 LITROS</t>
  </si>
  <si>
    <t>CONTENEDOR 60 LITROS</t>
  </si>
  <si>
    <t>A-VAPORERA</t>
  </si>
  <si>
    <t>CUBETA</t>
  </si>
  <si>
    <t>JUEGO DE 10 GANCHOS</t>
  </si>
  <si>
    <t>PLATO DE CEREAL</t>
  </si>
  <si>
    <t>COLADERA MALLA DOBLE 20 CMS.</t>
  </si>
  <si>
    <t>COLADERA MALLA DOBLE 16 CMS.</t>
  </si>
  <si>
    <t>FACT. W0295 POLIZA CH. 34329 DEL 21/FEB/07.</t>
  </si>
  <si>
    <t>COLOR CAOBA CON NEGRO</t>
  </si>
  <si>
    <t>ESCRITORIO 0,120 X 0,75 SPAZIO</t>
  </si>
  <si>
    <t xml:space="preserve">P.CH. 0273 4/02/05 COMPRA DE BIENES </t>
  </si>
  <si>
    <t>FACT. 310</t>
  </si>
  <si>
    <t>DEPRECIACION 2001</t>
  </si>
  <si>
    <t>POLIZAS DR.8 ENE, 6FEB, 4MAR, 6ABR, 4MAY, 5JUN, 5JUL, 3AGO, 3SEP, 4OCT, 6NOV, 9DIC.</t>
  </si>
  <si>
    <t>DEPRECIACION 2002</t>
  </si>
  <si>
    <t>POLIZAS DR.1 ENE, 9FEB, 7MAR, 2ABR, 2MAY, 3JUN, 2JUL, 3AGO, 2SEP, 2OCT, 1NOV, 2DIC.</t>
  </si>
  <si>
    <t>AJUSTE A LA DEPRECIACIÓN</t>
  </si>
  <si>
    <t>P. DR.4 31/AJT/01</t>
  </si>
  <si>
    <t>CANCELACIÓN DEPREC. ACUM. BIENES CULTURALES</t>
  </si>
  <si>
    <t>P. DR. 14 3/NOV/06.</t>
  </si>
  <si>
    <t>ASIENTO DE APERTURA DE DEPREC. ACUM. P. DR 1 31/AJT/00</t>
  </si>
  <si>
    <t>DEPRECIACIÓN ACUMULADA DE 2001</t>
  </si>
  <si>
    <t>POLIZAS DR.8 ENE, 6FEB, 4MAR,6ABR, 4MAY,5JUN, 5JUL, 3AGO, 3SEP, 4OCT, 6NOV, 9DIC.</t>
  </si>
  <si>
    <t>DEPRECIACIÓN ACUMULADA DE 2002</t>
  </si>
  <si>
    <t>POLIZAS DR. 1ENE, 9FEB, 7MAR,2ABR, 2MAY, 3JUN, 2JUL, 3AGO, 2SEP, 2OCT, 1NOV, 2DIC.</t>
  </si>
  <si>
    <t>CANCELACIÓN DE LA DEPREC. ACUM. MAQUINARIA</t>
  </si>
  <si>
    <t>CANCELAN LA DEPRECIACIÓN ACUMULADA.</t>
  </si>
  <si>
    <t>P.CH. 0121 1/MAR/04 ADQUISICIÓN DE VEHICULO</t>
  </si>
  <si>
    <t>FACT. 10261</t>
  </si>
  <si>
    <t>P.CH. 0127 10/MAR/04 REPOSICIÓN DE CHEQUE</t>
  </si>
  <si>
    <t>CANCELACIÓN DEPREC. ACUM. EQ. TRANSPORTE</t>
  </si>
  <si>
    <t>P. DR. 6 3/NOV/06.</t>
  </si>
  <si>
    <t>POLIZA DR. 4 31/AJT/01</t>
  </si>
  <si>
    <t>POLIZA DR. 16 3/NOV/06</t>
  </si>
  <si>
    <t>ALBERGUE TEMPORAL</t>
  </si>
  <si>
    <t>SE CUENTA CON EL RECIBO DE PENSIONES CIVILES POR LA ADQUISICIÓN DE PREDIO CON 1000 METROS CUADRADOS, UBICADO EN SAN SEBASTIAN ATLAHAPA MUNICIPIO DE TLAXCALA, DENOMINADO LA LADRILLERA (IV SEÑORIO). ADQUISICIÓN AUTORIZADA POR EL CONSEJO TÉCNICO DEL FONDO EN LA PRIMERA SESIÓN EXTRAORDINARIA DE 2003.</t>
  </si>
  <si>
    <t>MUNICIPIO Y UBICACIÓN</t>
  </si>
  <si>
    <t>CALLE NUEVA No. 2, COL. INFONAVIT, CUATRO SEÑORIOS, ESQUINA CON CALLE ALCATRAZ, SAN SEBASTIAN ATLAHAPA, TLAX.</t>
  </si>
  <si>
    <t>SUPERFICIE</t>
  </si>
  <si>
    <t>1000 MTRS. CUADRADOS</t>
  </si>
  <si>
    <t>TIPO DE PREDIO</t>
  </si>
  <si>
    <t>URBANO</t>
  </si>
  <si>
    <t>DESCRIPCIÓN DEL BIEN</t>
  </si>
  <si>
    <t>EDIFICIO DE DOS PLANTAS, EN LA PARTE BAJA CON RECEPCIÓN, SEIS MÓDULOS, DOS SANITARIOS, SALA DE USOS MÚLTIPLES, DORMITORIO, DOS COCINAS, ETC. EN LA PLANTA ALTA CUENTA CON TRES DORMITORIOS, CUATRO BAÑOS, LUDOTECA, ETC.</t>
  </si>
  <si>
    <t>FP/ATVD-228/05</t>
  </si>
  <si>
    <t>MATERIAL DIVERSO</t>
  </si>
  <si>
    <t>C.P FLOR PÉREZ SÁNCHEZ</t>
  </si>
  <si>
    <t>ELABORÓ</t>
  </si>
  <si>
    <t>Vo. Bo.</t>
  </si>
  <si>
    <t>FPVDAIPET 001/13</t>
  </si>
  <si>
    <t>FPVDAIPET 002/13</t>
  </si>
  <si>
    <t>FPVDAIPET 003/13</t>
  </si>
  <si>
    <t>POLIZA CHEQUE 695 07/05/13</t>
  </si>
  <si>
    <t>POLIZA CHEQUE 670 16/04/13</t>
  </si>
  <si>
    <t>FACT. TMKA/00000704259</t>
  </si>
  <si>
    <t>SILLA EJECUTIVA NEGRA CON MESH</t>
  </si>
  <si>
    <t>COLOR NEGRO Y APLICACIONES COLOR GRIS, CON CONTROL PARA ELEVAR.</t>
  </si>
  <si>
    <t>18 CHAROLAS 30 X 85 CMS.</t>
  </si>
  <si>
    <t>NUVE</t>
  </si>
  <si>
    <t>COLOR GRIS, METÁLICAS.</t>
  </si>
  <si>
    <t>D001027</t>
  </si>
  <si>
    <t xml:space="preserve">12 POSTES CALIBRE 18" X 2.2O MTRS. </t>
  </si>
  <si>
    <t>FACT. D001027</t>
  </si>
  <si>
    <t>FPVDAIPET 01/14</t>
  </si>
  <si>
    <t>FPVDAIPET 02/14</t>
  </si>
  <si>
    <t>OKI</t>
  </si>
  <si>
    <t>MB 461</t>
  </si>
  <si>
    <t>IMPRESORA MULTIFUNCIONAL LASER</t>
  </si>
  <si>
    <t>COLOR BLANCO</t>
  </si>
  <si>
    <t>POLIZA CHEQUE 928     06/03/14</t>
  </si>
  <si>
    <t>FACT. 1218</t>
  </si>
  <si>
    <t>POLIZA CHEQUE 947     07/04/14</t>
  </si>
  <si>
    <t>FACT. 1</t>
  </si>
  <si>
    <t>ALBERGUE</t>
  </si>
  <si>
    <t xml:space="preserve">ESCURRIDOR DE PLATOS C/CHAR </t>
  </si>
  <si>
    <t>ALBERGUE Y FONDO</t>
  </si>
  <si>
    <t>ARCHIVO PAPELERIA</t>
  </si>
  <si>
    <t>ACHIVO PAPELERIA</t>
  </si>
  <si>
    <t>BODEGA DE ROPA NIÑOS</t>
  </si>
  <si>
    <t>DORMITORIO NIÑAS CHICAS</t>
  </si>
  <si>
    <t>DORMITORIO NIÑAS GRANDES</t>
  </si>
  <si>
    <t>AISLADO ÁREA MÉDICA</t>
  </si>
  <si>
    <t>FP/ATVD-095/05</t>
  </si>
  <si>
    <t>RECEPCIÓN CUNEROS</t>
  </si>
  <si>
    <t>ENFERMERIA</t>
  </si>
  <si>
    <t>CONSULTORIO MÉDICO</t>
  </si>
  <si>
    <t>ARCHIVO PAPELERIA, BOCINAS DE COMPUTADORA SE ENCUENTRAN EN CONSULTORIO MÉDICO</t>
  </si>
  <si>
    <t>PSICOLOGÍA 1</t>
  </si>
  <si>
    <t>PSICOLOGIA 1</t>
  </si>
  <si>
    <t>PSICOLOGÍA 2</t>
  </si>
  <si>
    <t>PSICOLOGIA 2</t>
  </si>
  <si>
    <t>BODEGA FONDO Y PSICOLOGÍA 2</t>
  </si>
  <si>
    <t>BODEGA CUNEROS</t>
  </si>
  <si>
    <t>AISLADOS</t>
  </si>
  <si>
    <t>ALMACEN GRAL</t>
  </si>
  <si>
    <t>ALMACEN GENERAL ALBERGUE: (2) FP/ATVD-247/05 Y FP/ATVD-248/05, BODEGA ÁREA JURÍDICA: (1) FP/ATVD-248A/05, BODEGA:(2) FP/ATVD-248B/05 Y FP/ATVD-248C/05.</t>
  </si>
  <si>
    <t>BAÑO ESTIMULACIÓN</t>
  </si>
  <si>
    <t>BAÑOS ESTIMULACIÓN</t>
  </si>
  <si>
    <t>SALÓN SECUNDARIA</t>
  </si>
  <si>
    <t>BODEGA DE ESCALERAS</t>
  </si>
  <si>
    <t>LIC. LEONARDO ADRIÁN LUNA RAMÍREZ</t>
  </si>
  <si>
    <t>LIC. LEONARDO ESTEBAN ESTEVEZ VÁZQUEZ Y ALBERGUE</t>
  </si>
  <si>
    <t>LIC. LEONARDO ESTEBAN ESTEVEZ VAZQUEZ</t>
  </si>
  <si>
    <t>LIC. OSCAR CUAMATZI</t>
  </si>
  <si>
    <t>ODILIA ACOLTZI VARGAS</t>
  </si>
  <si>
    <t>BODEGA RECEPCIÓN</t>
  </si>
  <si>
    <t>PASILLO</t>
  </si>
  <si>
    <t>FPVDAIPET 004/13 Y FPVDAIPET 05/13</t>
  </si>
  <si>
    <t>FPVDAIPET 006/13</t>
  </si>
  <si>
    <t>OFICINA ADMINISTRATIVA</t>
  </si>
  <si>
    <t>DENUNCIA DE ROBO</t>
  </si>
  <si>
    <t>OFICINA DE PRIMER CONTACTO</t>
  </si>
  <si>
    <t>LIC. SARAHI ACOSTA SÁNCHEZ</t>
  </si>
  <si>
    <t>LIC. SARAHI ACOSTA SANCHEZ</t>
  </si>
  <si>
    <t>LIC. GABRIELA  AYALA CAHUANTZI</t>
  </si>
  <si>
    <t>LIC. OSCAR CRUZ CUAMATZI</t>
  </si>
  <si>
    <t>JURÍDICA VÍCTIMAS</t>
  </si>
  <si>
    <t>GABRIELA FUENTES MAYO</t>
  </si>
  <si>
    <t>FP/ATVD-216A/05</t>
  </si>
  <si>
    <t>BAJAS R.MAT.</t>
  </si>
  <si>
    <t>FP/ATVD-217/05 Y FP/ATVD-216/05</t>
  </si>
  <si>
    <t>BAJAS REC. MAT</t>
  </si>
  <si>
    <t>BAJAS REC. MAT.</t>
  </si>
  <si>
    <t>BAJAS  REC. MAT.</t>
  </si>
  <si>
    <t>BAJAS  REC.MAT</t>
  </si>
  <si>
    <t>BAJAS R.MAT</t>
  </si>
  <si>
    <t>FP/ATVD-202/05-A</t>
  </si>
  <si>
    <t>BODEGA ÁREA JURÍDICA</t>
  </si>
  <si>
    <t>FP/ATVD-204/05-A</t>
  </si>
  <si>
    <t>FIDEICOMISO FONDO DE AYUDA, ASISTENCIA Y REPARACIÓN DE DAÑO A LAS VÍCTIMAS Y OFENDIDOS</t>
  </si>
  <si>
    <t>FPVDAIPET 001/15</t>
  </si>
  <si>
    <t>RELOJ BIOMETRICO</t>
  </si>
  <si>
    <t>ECO</t>
  </si>
  <si>
    <t>ZKT</t>
  </si>
  <si>
    <t>FACT. 1903</t>
  </si>
  <si>
    <t>POLIZA DIARIO 32           27/04/15</t>
  </si>
  <si>
    <t>ACTA</t>
  </si>
  <si>
    <t>48 REGULAR Y 2 MALO</t>
  </si>
  <si>
    <t xml:space="preserve">  ACTA</t>
  </si>
  <si>
    <t>COCINA, RESGUARDO RECORDATORIO</t>
  </si>
  <si>
    <t>COMODATO</t>
  </si>
  <si>
    <t>RESGUARDOS</t>
  </si>
  <si>
    <t>.</t>
  </si>
  <si>
    <t>RESGUARDO Y DESINCORPORADO</t>
  </si>
  <si>
    <t>9 MAL ESTADO, 1 REGULAR</t>
  </si>
  <si>
    <t>SITUACIÓN</t>
  </si>
  <si>
    <t>SE TRAMITARÁ SU BAJA</t>
  </si>
  <si>
    <t>RESGUARDADO</t>
  </si>
  <si>
    <t>SE DESINCORPORARÁ</t>
  </si>
  <si>
    <t>SALDO SOMETIDO A AUTORIZACIÓN PARA BAJA</t>
  </si>
  <si>
    <t>RESGUARDO Y POR DESINCORPORAR</t>
  </si>
  <si>
    <t>CARACTERÍSTICAS GENERALES</t>
  </si>
  <si>
    <t>SALDOS PARA DAR DE BAJA</t>
  </si>
  <si>
    <t>RESGUARDADOS</t>
  </si>
  <si>
    <t xml:space="preserve">                                                               </t>
  </si>
  <si>
    <t>PÓLIZA DIARIO 03/04/02/16</t>
  </si>
  <si>
    <t>ICAIE 109022</t>
  </si>
  <si>
    <t>FAARDVO 01/16</t>
  </si>
  <si>
    <t>DISPENSADOR DE AGUA</t>
  </si>
  <si>
    <t>WATER FRESH</t>
  </si>
  <si>
    <t>FAARDVO 02/16</t>
  </si>
  <si>
    <t>FAARDVO 03/16</t>
  </si>
  <si>
    <t>FAARDVO 04/16</t>
  </si>
  <si>
    <t>ASESORIA JURÍDICA</t>
  </si>
  <si>
    <t>OSCAR CUAMATZI CRUZ</t>
  </si>
  <si>
    <t>FAARDVO 05/16</t>
  </si>
  <si>
    <t>FAARDVO 06/16</t>
  </si>
  <si>
    <t>FAARDVO 07/16</t>
  </si>
  <si>
    <t>FAARDVO 08/16</t>
  </si>
  <si>
    <t>FAARDVO 09/16</t>
  </si>
  <si>
    <t>FAARDVO 10/16</t>
  </si>
  <si>
    <t>FAARDVO 11/16</t>
  </si>
  <si>
    <t>PÓLIZA DIRIO 11                 16/03/16</t>
  </si>
  <si>
    <t>FACT. 220</t>
  </si>
  <si>
    <t>COLOR NEGRO, SN 3204154800006</t>
  </si>
  <si>
    <t>COLOR NEGRO, SN 3204154800003</t>
  </si>
</sst>
</file>

<file path=xl/styles.xml><?xml version="1.0" encoding="utf-8"?>
<styleSheet xmlns="http://schemas.openxmlformats.org/spreadsheetml/2006/main">
  <numFmts count="5">
    <numFmt numFmtId="8" formatCode="&quot;$&quot;#,##0.00;[Red]\-&quot;$&quot;#,##0.00"/>
    <numFmt numFmtId="41" formatCode="_-* #,##0_-;\-* #,##0_-;_-* &quot;-&quot;_-;_-@_-"/>
    <numFmt numFmtId="44" formatCode="_-&quot;$&quot;* #,##0.00_-;\-&quot;$&quot;* #,##0.00_-;_-&quot;$&quot;* &quot;-&quot;??_-;_-@_-"/>
    <numFmt numFmtId="43" formatCode="_-* #,##0.00_-;\-* #,##0.00_-;_-* &quot;-&quot;??_-;_-@_-"/>
    <numFmt numFmtId="164" formatCode="#,##0.00_ ;[Red]\-#,##0.00\ "/>
  </numFmts>
  <fonts count="28">
    <font>
      <sz val="11"/>
      <color theme="1"/>
      <name val="Calibri"/>
      <family val="2"/>
      <scheme val="minor"/>
    </font>
    <font>
      <sz val="11"/>
      <color theme="1"/>
      <name val="Calibri"/>
      <family val="2"/>
      <scheme val="minor"/>
    </font>
    <font>
      <sz val="10"/>
      <name val="Arial"/>
      <family val="2"/>
    </font>
    <font>
      <sz val="8"/>
      <name val="Arial"/>
      <family val="2"/>
    </font>
    <font>
      <sz val="8"/>
      <color theme="1"/>
      <name val="Calibri"/>
      <family val="2"/>
      <scheme val="minor"/>
    </font>
    <font>
      <b/>
      <sz val="8"/>
      <name val="Times New Roman"/>
      <family val="1"/>
    </font>
    <font>
      <b/>
      <sz val="8"/>
      <color theme="1"/>
      <name val="Calibri"/>
      <family val="2"/>
      <scheme val="minor"/>
    </font>
    <font>
      <b/>
      <sz val="8"/>
      <name val="Arial"/>
      <family val="2"/>
    </font>
    <font>
      <sz val="8"/>
      <color theme="1"/>
      <name val="Arial"/>
      <family val="2"/>
    </font>
    <font>
      <b/>
      <sz val="8"/>
      <color theme="1"/>
      <name val="Arial"/>
      <family val="2"/>
    </font>
    <font>
      <sz val="12"/>
      <name val="Arial"/>
      <family val="2"/>
    </font>
    <font>
      <b/>
      <i/>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sz val="8"/>
      <name val="Calibri"/>
      <family val="2"/>
      <scheme val="minor"/>
    </font>
    <font>
      <b/>
      <sz val="9"/>
      <name val="Calibri"/>
      <family val="2"/>
      <scheme val="minor"/>
    </font>
    <font>
      <b/>
      <sz val="12"/>
      <color theme="1"/>
      <name val="Arial"/>
      <family val="2"/>
    </font>
    <font>
      <sz val="10"/>
      <color theme="1"/>
      <name val="Calibri"/>
      <family val="2"/>
      <scheme val="minor"/>
    </font>
    <font>
      <b/>
      <sz val="10"/>
      <color theme="1"/>
      <name val="Calibri"/>
      <family val="2"/>
      <scheme val="minor"/>
    </font>
    <font>
      <b/>
      <sz val="8"/>
      <name val="Calibri"/>
      <family val="2"/>
      <scheme val="minor"/>
    </font>
    <font>
      <sz val="9"/>
      <color theme="1"/>
      <name val="Arial"/>
      <family val="2"/>
    </font>
    <font>
      <b/>
      <i/>
      <sz val="12"/>
      <color theme="1"/>
      <name val="Arial"/>
      <family val="2"/>
    </font>
    <font>
      <sz val="11"/>
      <name val="Arial"/>
      <family val="2"/>
    </font>
    <font>
      <sz val="9"/>
      <color theme="0"/>
      <name val="Calibri"/>
      <family val="2"/>
      <scheme val="minor"/>
    </font>
    <font>
      <b/>
      <sz val="18"/>
      <name val="Arial"/>
      <family val="2"/>
    </font>
    <font>
      <b/>
      <sz val="14"/>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37">
    <xf numFmtId="0" fontId="0" fillId="0" borderId="0" xfId="0"/>
    <xf numFmtId="0" fontId="3" fillId="2" borderId="0" xfId="0" applyFont="1" applyFill="1"/>
    <xf numFmtId="0" fontId="4" fillId="2" borderId="0" xfId="0" applyFont="1" applyFill="1"/>
    <xf numFmtId="0" fontId="13" fillId="2" borderId="0" xfId="0" applyFont="1" applyFill="1"/>
    <xf numFmtId="0" fontId="15" fillId="2" borderId="0" xfId="0" applyFont="1" applyFill="1" applyAlignment="1">
      <alignment horizontal="center" vertical="center"/>
    </xf>
    <xf numFmtId="0" fontId="15" fillId="2" borderId="0" xfId="0" applyFont="1" applyFill="1"/>
    <xf numFmtId="0" fontId="15" fillId="2" borderId="0" xfId="0" applyFont="1" applyFill="1" applyBorder="1"/>
    <xf numFmtId="0" fontId="3" fillId="2" borderId="0" xfId="0" applyFont="1" applyFill="1" applyBorder="1"/>
    <xf numFmtId="0" fontId="14" fillId="2" borderId="0" xfId="0" applyFont="1" applyFill="1"/>
    <xf numFmtId="0" fontId="14" fillId="2" borderId="0" xfId="0" applyFont="1" applyFill="1" applyBorder="1"/>
    <xf numFmtId="0" fontId="4" fillId="2" borderId="0" xfId="0" applyFont="1" applyFill="1" applyAlignment="1">
      <alignment wrapText="1"/>
    </xf>
    <xf numFmtId="0" fontId="4" fillId="2" borderId="0" xfId="0" applyFont="1" applyFill="1" applyAlignment="1">
      <alignment horizontal="center" vertical="center"/>
    </xf>
    <xf numFmtId="43" fontId="4" fillId="2" borderId="0" xfId="0" applyNumberFormat="1" applyFont="1" applyFill="1"/>
    <xf numFmtId="44" fontId="6" fillId="2" borderId="0" xfId="2" applyFont="1" applyFill="1"/>
    <xf numFmtId="43" fontId="5" fillId="2" borderId="0" xfId="1" applyFont="1" applyFill="1" applyBorder="1" applyAlignment="1">
      <alignment horizontal="center" vertical="center"/>
    </xf>
    <xf numFmtId="0" fontId="20" fillId="2" borderId="0" xfId="0" applyFont="1" applyFill="1"/>
    <xf numFmtId="0" fontId="4" fillId="2" borderId="0" xfId="0" applyFont="1" applyFill="1" applyAlignment="1">
      <alignment horizontal="left" vertical="center"/>
    </xf>
    <xf numFmtId="0" fontId="4" fillId="2" borderId="0" xfId="0" applyFont="1" applyFill="1" applyAlignment="1">
      <alignment horizontal="left" vertical="top"/>
    </xf>
    <xf numFmtId="0" fontId="4" fillId="2" borderId="0" xfId="0" applyFont="1" applyFill="1" applyBorder="1" applyAlignment="1">
      <alignment horizontal="center" vertical="center" wrapText="1"/>
    </xf>
    <xf numFmtId="0" fontId="4" fillId="2" borderId="0" xfId="0" applyFont="1" applyFill="1" applyBorder="1" applyAlignment="1">
      <alignment wrapText="1"/>
    </xf>
    <xf numFmtId="44" fontId="4" fillId="2" borderId="0" xfId="2" applyFont="1" applyFill="1" applyBorder="1" applyAlignment="1">
      <alignment wrapText="1"/>
    </xf>
    <xf numFmtId="43" fontId="4" fillId="2" borderId="0" xfId="0" applyNumberFormat="1" applyFont="1" applyFill="1" applyBorder="1"/>
    <xf numFmtId="43" fontId="4" fillId="2" borderId="0" xfId="1" applyFont="1" applyFill="1" applyBorder="1"/>
    <xf numFmtId="0" fontId="17" fillId="2" borderId="0" xfId="0" applyFont="1" applyFill="1"/>
    <xf numFmtId="0" fontId="14" fillId="2" borderId="0" xfId="0" applyFont="1" applyFill="1" applyBorder="1" applyAlignment="1">
      <alignment horizontal="center" vertical="center" wrapText="1"/>
    </xf>
    <xf numFmtId="0" fontId="11" fillId="2" borderId="0" xfId="0" applyFont="1" applyFill="1"/>
    <xf numFmtId="0" fontId="0" fillId="2" borderId="0" xfId="0" applyFill="1"/>
    <xf numFmtId="0" fontId="10" fillId="2" borderId="0" xfId="0" applyFont="1" applyFill="1" applyBorder="1"/>
    <xf numFmtId="41" fontId="10" fillId="2" borderId="0" xfId="1" applyNumberFormat="1" applyFont="1" applyFill="1" applyBorder="1"/>
    <xf numFmtId="0" fontId="10" fillId="2" borderId="0" xfId="0" applyFont="1" applyFill="1" applyBorder="1" applyAlignment="1">
      <alignment horizontal="left"/>
    </xf>
    <xf numFmtId="41" fontId="0" fillId="2" borderId="0" xfId="0" applyNumberFormat="1" applyFill="1"/>
    <xf numFmtId="41" fontId="10" fillId="2" borderId="2" xfId="1" applyNumberFormat="1" applyFont="1" applyFill="1" applyBorder="1"/>
    <xf numFmtId="0" fontId="14"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21" fillId="2" borderId="0" xfId="0" applyFont="1" applyFill="1"/>
    <xf numFmtId="0" fontId="15" fillId="2" borderId="1" xfId="0" applyFont="1" applyFill="1" applyBorder="1" applyAlignment="1">
      <alignment horizontal="center" vertical="center" wrapText="1" readingOrder="1"/>
    </xf>
    <xf numFmtId="0" fontId="8" fillId="2" borderId="0" xfId="0" applyFont="1" applyFill="1"/>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xf numFmtId="43" fontId="13" fillId="2" borderId="1" xfId="1" applyFont="1" applyFill="1" applyBorder="1" applyAlignment="1">
      <alignment horizontal="center" vertical="center"/>
    </xf>
    <xf numFmtId="4" fontId="14" fillId="2" borderId="1" xfId="0" applyNumberFormat="1" applyFont="1" applyFill="1" applyBorder="1" applyAlignment="1">
      <alignment horizontal="center" vertical="center"/>
    </xf>
    <xf numFmtId="0" fontId="14" fillId="2" borderId="1" xfId="0" applyFont="1" applyFill="1" applyBorder="1" applyAlignment="1">
      <alignment horizontal="center" wrapText="1"/>
    </xf>
    <xf numFmtId="43" fontId="14" fillId="2" borderId="1" xfId="1" applyFont="1" applyFill="1" applyBorder="1" applyAlignment="1">
      <alignment horizontal="center" vertical="center" wrapText="1"/>
    </xf>
    <xf numFmtId="0" fontId="14" fillId="2" borderId="0" xfId="0" applyFont="1" applyFill="1" applyBorder="1" applyAlignment="1">
      <alignment horizontal="center" vertical="center" textRotation="91" wrapText="1"/>
    </xf>
    <xf numFmtId="0" fontId="15" fillId="2" borderId="1" xfId="0" applyFont="1" applyFill="1" applyBorder="1" applyAlignment="1">
      <alignment horizontal="center" vertical="center"/>
    </xf>
    <xf numFmtId="8" fontId="15" fillId="2" borderId="1" xfId="0" applyNumberFormat="1" applyFont="1" applyFill="1" applyBorder="1" applyAlignment="1">
      <alignment horizontal="center" vertical="center"/>
    </xf>
    <xf numFmtId="8" fontId="15" fillId="2" borderId="1" xfId="0" applyNumberFormat="1" applyFont="1" applyFill="1" applyBorder="1" applyAlignment="1">
      <alignment horizontal="justify" vertical="justify" wrapText="1"/>
    </xf>
    <xf numFmtId="43" fontId="15" fillId="2" borderId="1" xfId="1" applyFont="1" applyFill="1" applyBorder="1" applyAlignment="1">
      <alignment horizontal="center" vertical="center" wrapText="1"/>
    </xf>
    <xf numFmtId="8" fontId="15" fillId="2" borderId="1" xfId="0" applyNumberFormat="1" applyFont="1" applyFill="1" applyBorder="1" applyAlignment="1">
      <alignment horizontal="center" vertical="center" wrapText="1"/>
    </xf>
    <xf numFmtId="4" fontId="15"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43" fontId="4" fillId="2" borderId="0" xfId="1" applyFont="1" applyFill="1"/>
    <xf numFmtId="164" fontId="9" fillId="2" borderId="0" xfId="0" applyNumberFormat="1" applyFont="1" applyFill="1"/>
    <xf numFmtId="0" fontId="9" fillId="2" borderId="0" xfId="0" applyFont="1" applyFill="1" applyAlignment="1">
      <alignment horizontal="center" vertical="center"/>
    </xf>
    <xf numFmtId="0" fontId="0" fillId="2" borderId="0" xfId="0" applyFill="1" applyAlignment="1">
      <alignment horizontal="center" vertical="center"/>
    </xf>
    <xf numFmtId="0" fontId="22" fillId="2" borderId="0" xfId="0" applyFont="1" applyFill="1"/>
    <xf numFmtId="0" fontId="14" fillId="2" borderId="1" xfId="0" applyFont="1" applyFill="1" applyBorder="1" applyAlignment="1">
      <alignment horizontal="center" vertical="center" wrapText="1" readingOrder="1"/>
    </xf>
    <xf numFmtId="44" fontId="12" fillId="2" borderId="0" xfId="2" applyFont="1" applyFill="1"/>
    <xf numFmtId="0" fontId="4" fillId="2" borderId="0" xfId="0" applyFont="1" applyFill="1" applyAlignment="1">
      <alignment vertical="center"/>
    </xf>
    <xf numFmtId="0" fontId="16" fillId="2" borderId="0" xfId="0" applyFont="1" applyFill="1"/>
    <xf numFmtId="0" fontId="3" fillId="2" borderId="0" xfId="0" applyFont="1" applyFill="1" applyAlignment="1">
      <alignment horizontal="justify" vertical="justify"/>
    </xf>
    <xf numFmtId="43" fontId="7" fillId="2" borderId="0" xfId="1" applyFont="1" applyFill="1" applyBorder="1" applyAlignment="1">
      <alignment horizontal="center" vertical="center"/>
    </xf>
    <xf numFmtId="0" fontId="4" fillId="2" borderId="0" xfId="0" applyFont="1" applyFill="1" applyBorder="1"/>
    <xf numFmtId="44" fontId="6" fillId="2" borderId="0" xfId="2" applyFont="1" applyFill="1" applyBorder="1"/>
    <xf numFmtId="43" fontId="13" fillId="2" borderId="0" xfId="1" applyFont="1" applyFill="1"/>
    <xf numFmtId="43" fontId="13" fillId="2" borderId="2" xfId="1" applyFont="1" applyFill="1" applyBorder="1"/>
    <xf numFmtId="0" fontId="18" fillId="2" borderId="0" xfId="0" applyFont="1" applyFill="1"/>
    <xf numFmtId="43" fontId="18" fillId="2" borderId="0" xfId="1" applyFont="1" applyFill="1"/>
    <xf numFmtId="0" fontId="18" fillId="2" borderId="0" xfId="0" applyFont="1" applyFill="1" applyAlignment="1"/>
    <xf numFmtId="0" fontId="18" fillId="2" borderId="0" xfId="0" applyFont="1" applyFill="1" applyAlignment="1">
      <alignment vertical="center"/>
    </xf>
    <xf numFmtId="43" fontId="18" fillId="2" borderId="0" xfId="0" applyNumberFormat="1" applyFont="1" applyFill="1"/>
    <xf numFmtId="0" fontId="18" fillId="2" borderId="0" xfId="0" applyFont="1" applyFill="1" applyAlignment="1">
      <alignment horizontal="left" wrapText="1"/>
    </xf>
    <xf numFmtId="44" fontId="19" fillId="2" borderId="0" xfId="2" applyFont="1" applyFill="1"/>
    <xf numFmtId="14" fontId="8" fillId="2" borderId="0" xfId="0" applyNumberFormat="1" applyFont="1" applyFill="1" applyAlignment="1">
      <alignment horizontal="center" vertical="center"/>
    </xf>
    <xf numFmtId="0" fontId="8" fillId="2" borderId="0" xfId="0" applyFont="1" applyFill="1" applyAlignment="1">
      <alignment horizontal="center" vertical="center"/>
    </xf>
    <xf numFmtId="43" fontId="8" fillId="2" borderId="0" xfId="1" applyFont="1" applyFill="1"/>
    <xf numFmtId="43" fontId="8" fillId="2" borderId="2" xfId="1" applyFont="1" applyFill="1" applyBorder="1"/>
    <xf numFmtId="44" fontId="8" fillId="2" borderId="0" xfId="2" applyFont="1" applyFill="1"/>
    <xf numFmtId="0" fontId="8" fillId="2" borderId="0" xfId="0" applyFont="1" applyFill="1" applyAlignment="1">
      <alignment horizontal="center" vertical="center" wrapText="1"/>
    </xf>
    <xf numFmtId="44" fontId="8" fillId="2" borderId="0" xfId="2" applyFont="1" applyFill="1" applyBorder="1"/>
    <xf numFmtId="44" fontId="9" fillId="2" borderId="1" xfId="2" applyFont="1" applyFill="1" applyBorder="1"/>
    <xf numFmtId="0" fontId="13" fillId="2" borderId="0" xfId="0" applyFont="1" applyFill="1" applyBorder="1" applyAlignment="1">
      <alignment horizontal="center" vertical="center"/>
    </xf>
    <xf numFmtId="44" fontId="12" fillId="2" borderId="0" xfId="2" applyFont="1" applyFill="1" applyBorder="1"/>
    <xf numFmtId="44" fontId="4" fillId="2" borderId="0" xfId="2" applyFont="1" applyFill="1"/>
    <xf numFmtId="0" fontId="17" fillId="2" borderId="0" xfId="0" applyFont="1" applyFill="1" applyAlignment="1">
      <alignment horizontal="left" vertical="center"/>
    </xf>
    <xf numFmtId="43" fontId="4" fillId="2" borderId="0" xfId="0" applyNumberFormat="1" applyFont="1" applyFill="1" applyAlignment="1">
      <alignment horizontal="center" vertical="center"/>
    </xf>
    <xf numFmtId="0" fontId="13" fillId="2" borderId="0" xfId="0" applyFont="1" applyFill="1" applyAlignment="1">
      <alignment horizontal="center" vertical="center"/>
    </xf>
    <xf numFmtId="43" fontId="14" fillId="2" borderId="1" xfId="1" applyFont="1" applyFill="1" applyBorder="1" applyAlignment="1">
      <alignment horizontal="center" vertical="center"/>
    </xf>
    <xf numFmtId="0" fontId="15" fillId="2" borderId="0" xfId="0" applyFont="1" applyFill="1" applyBorder="1" applyAlignment="1">
      <alignment horizontal="center" vertical="center"/>
    </xf>
    <xf numFmtId="8" fontId="15" fillId="2" borderId="0" xfId="0" applyNumberFormat="1" applyFont="1" applyFill="1" applyBorder="1" applyAlignment="1">
      <alignment horizontal="center" vertical="center"/>
    </xf>
    <xf numFmtId="8" fontId="15" fillId="2" borderId="0" xfId="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44" fontId="4" fillId="2" borderId="0" xfId="2" applyFont="1" applyFill="1" applyBorder="1"/>
    <xf numFmtId="0" fontId="15"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8" fontId="15" fillId="2" borderId="2" xfId="0" applyNumberFormat="1" applyFont="1" applyFill="1" applyBorder="1" applyAlignment="1">
      <alignment horizontal="center" vertical="center"/>
    </xf>
    <xf numFmtId="8" fontId="15" fillId="2" borderId="2" xfId="0"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0" fontId="2" fillId="2" borderId="0" xfId="0" applyFont="1" applyFill="1"/>
    <xf numFmtId="43" fontId="9" fillId="2" borderId="0" xfId="1" applyFont="1" applyFill="1"/>
    <xf numFmtId="8" fontId="14" fillId="2" borderId="1" xfId="0" applyNumberFormat="1" applyFont="1" applyFill="1" applyBorder="1" applyAlignment="1">
      <alignment horizontal="center" vertical="center" wrapText="1"/>
    </xf>
    <xf numFmtId="8" fontId="14" fillId="2" borderId="1" xfId="0" applyNumberFormat="1" applyFont="1" applyFill="1" applyBorder="1" applyAlignment="1">
      <alignment horizontal="center" vertical="center"/>
    </xf>
    <xf numFmtId="8" fontId="14" fillId="2" borderId="1" xfId="0" applyNumberFormat="1" applyFont="1" applyFill="1" applyBorder="1" applyAlignment="1">
      <alignment horizontal="justify" vertical="justify" wrapText="1"/>
    </xf>
    <xf numFmtId="0" fontId="12" fillId="2" borderId="0" xfId="0" applyFont="1" applyFill="1"/>
    <xf numFmtId="0" fontId="8" fillId="2" borderId="0" xfId="0" applyFont="1" applyFill="1" applyAlignment="1">
      <alignment horizontal="left" vertical="center" wrapText="1"/>
    </xf>
    <xf numFmtId="44" fontId="23" fillId="3" borderId="0" xfId="2" applyFont="1" applyFill="1" applyBorder="1"/>
    <xf numFmtId="43" fontId="13" fillId="4" borderId="0" xfId="1" applyFont="1" applyFill="1"/>
    <xf numFmtId="44" fontId="14" fillId="2" borderId="1" xfId="2" applyFont="1" applyFill="1" applyBorder="1" applyAlignment="1">
      <alignment horizontal="right" vertical="center"/>
    </xf>
    <xf numFmtId="0" fontId="14" fillId="2" borderId="1" xfId="1" applyNumberFormat="1" applyFont="1" applyFill="1" applyBorder="1" applyAlignment="1">
      <alignment horizontal="center" vertical="center"/>
    </xf>
    <xf numFmtId="43" fontId="3" fillId="2" borderId="0" xfId="0" applyNumberFormat="1" applyFont="1" applyFill="1"/>
    <xf numFmtId="4" fontId="3" fillId="2" borderId="0" xfId="0" applyNumberFormat="1" applyFont="1" applyFill="1" applyBorder="1"/>
    <xf numFmtId="0" fontId="3" fillId="2" borderId="0"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1" xfId="0" applyFont="1" applyFill="1" applyBorder="1"/>
    <xf numFmtId="43" fontId="4" fillId="2" borderId="1" xfId="1" applyFont="1" applyFill="1" applyBorder="1"/>
    <xf numFmtId="0" fontId="14" fillId="2" borderId="1" xfId="0" applyFont="1" applyFill="1" applyBorder="1" applyAlignment="1">
      <alignment horizontal="center" vertical="center" wrapText="1" readingOrder="1"/>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3" fillId="2" borderId="0" xfId="0" applyFont="1" applyFill="1" applyAlignment="1">
      <alignment horizontal="center"/>
    </xf>
    <xf numFmtId="0" fontId="14" fillId="2" borderId="0" xfId="0" applyFont="1" applyFill="1" applyAlignment="1">
      <alignment horizontal="center"/>
    </xf>
    <xf numFmtId="43" fontId="13" fillId="2" borderId="1" xfId="1" applyFont="1" applyFill="1" applyBorder="1" applyAlignment="1">
      <alignment horizontal="center"/>
    </xf>
    <xf numFmtId="0" fontId="13" fillId="2" borderId="1" xfId="0" applyFont="1" applyFill="1" applyBorder="1" applyAlignment="1">
      <alignment horizontal="center"/>
    </xf>
    <xf numFmtId="44" fontId="12" fillId="2" borderId="0" xfId="2" applyFont="1" applyFill="1" applyAlignment="1">
      <alignment horizontal="center"/>
    </xf>
    <xf numFmtId="0" fontId="14" fillId="2" borderId="0" xfId="0" applyFont="1" applyFill="1" applyBorder="1" applyAlignment="1">
      <alignment horizontal="center"/>
    </xf>
    <xf numFmtId="44" fontId="12" fillId="2" borderId="0" xfId="0" applyNumberFormat="1" applyFont="1" applyFill="1" applyAlignment="1">
      <alignment horizontal="center"/>
    </xf>
    <xf numFmtId="8" fontId="12" fillId="2" borderId="0" xfId="0" applyNumberFormat="1" applyFont="1" applyFill="1" applyAlignment="1">
      <alignment horizontal="center"/>
    </xf>
    <xf numFmtId="44" fontId="13" fillId="2" borderId="0" xfId="2" applyFont="1" applyFill="1" applyAlignment="1">
      <alignment horizontal="center"/>
    </xf>
    <xf numFmtId="44" fontId="12" fillId="2" borderId="0" xfId="2" applyFont="1" applyFill="1" applyBorder="1" applyAlignment="1">
      <alignment horizontal="center"/>
    </xf>
    <xf numFmtId="0" fontId="13" fillId="2" borderId="0" xfId="0" applyFont="1" applyFill="1" applyBorder="1" applyAlignment="1">
      <alignment horizontal="center"/>
    </xf>
    <xf numFmtId="0" fontId="4" fillId="2" borderId="0" xfId="0" applyFont="1" applyFill="1" applyAlignment="1">
      <alignment horizontal="center"/>
    </xf>
    <xf numFmtId="43" fontId="13" fillId="2" borderId="0" xfId="1" applyFont="1" applyFill="1" applyAlignment="1">
      <alignment horizontal="center"/>
    </xf>
    <xf numFmtId="164" fontId="14" fillId="2" borderId="1" xfId="0" applyNumberFormat="1" applyFont="1" applyFill="1" applyBorder="1" applyAlignment="1">
      <alignment horizontal="center"/>
    </xf>
    <xf numFmtId="44" fontId="16" fillId="2" borderId="1" xfId="2" applyFont="1" applyFill="1" applyBorder="1" applyAlignment="1">
      <alignment horizontal="center" vertical="center" wrapText="1"/>
    </xf>
    <xf numFmtId="0" fontId="24" fillId="2" borderId="1" xfId="0" applyFont="1" applyFill="1" applyBorder="1" applyAlignment="1">
      <alignment horizontal="center" vertical="center" wrapText="1"/>
    </xf>
    <xf numFmtId="43" fontId="13" fillId="2" borderId="0" xfId="1" applyFont="1" applyFill="1" applyBorder="1" applyAlignment="1">
      <alignment horizontal="center"/>
    </xf>
    <xf numFmtId="43" fontId="13" fillId="2" borderId="2" xfId="1" applyFont="1" applyFill="1" applyBorder="1" applyAlignment="1">
      <alignment horizontal="center"/>
    </xf>
    <xf numFmtId="0" fontId="13" fillId="2" borderId="0" xfId="0" applyFont="1" applyFill="1" applyAlignment="1">
      <alignment horizontal="left" vertical="center"/>
    </xf>
    <xf numFmtId="0" fontId="20" fillId="3"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43" fontId="13" fillId="2" borderId="0" xfId="0" applyNumberFormat="1" applyFont="1" applyFill="1"/>
    <xf numFmtId="43" fontId="3" fillId="2" borderId="0" xfId="0" applyNumberFormat="1" applyFont="1" applyFill="1" applyAlignment="1">
      <alignment horizontal="justify" vertical="justify"/>
    </xf>
    <xf numFmtId="43" fontId="18" fillId="2" borderId="0" xfId="1" applyFont="1" applyFill="1" applyAlignment="1">
      <alignment vertical="center"/>
    </xf>
    <xf numFmtId="43" fontId="18" fillId="2" borderId="0" xfId="1" applyFont="1" applyFill="1" applyAlignment="1">
      <alignment horizontal="center" vertical="center"/>
    </xf>
    <xf numFmtId="0" fontId="17" fillId="2" borderId="1" xfId="0" applyFont="1" applyFill="1" applyBorder="1"/>
    <xf numFmtId="164" fontId="14" fillId="2" borderId="1" xfId="0" applyNumberFormat="1" applyFont="1" applyFill="1" applyBorder="1" applyAlignment="1">
      <alignment horizontal="right"/>
    </xf>
    <xf numFmtId="164" fontId="16" fillId="2" borderId="1" xfId="0" applyNumberFormat="1" applyFont="1" applyFill="1" applyBorder="1" applyAlignment="1">
      <alignment horizontal="right"/>
    </xf>
    <xf numFmtId="43" fontId="16" fillId="2" borderId="1" xfId="1" applyFont="1" applyFill="1" applyBorder="1" applyAlignment="1">
      <alignment horizontal="right"/>
    </xf>
    <xf numFmtId="0" fontId="3" fillId="2" borderId="1" xfId="0" applyFont="1" applyFill="1" applyBorder="1"/>
    <xf numFmtId="0" fontId="3" fillId="2" borderId="1" xfId="0" applyFont="1" applyFill="1" applyBorder="1" applyAlignment="1">
      <alignment horizontal="justify" vertical="justify"/>
    </xf>
    <xf numFmtId="43" fontId="3" fillId="2" borderId="1" xfId="0" applyNumberFormat="1" applyFont="1" applyFill="1" applyBorder="1"/>
    <xf numFmtId="0" fontId="4" fillId="2" borderId="1" xfId="0" applyFont="1" applyFill="1" applyBorder="1" applyAlignment="1">
      <alignment vertical="center"/>
    </xf>
    <xf numFmtId="0" fontId="3" fillId="2" borderId="1" xfId="0" applyFont="1" applyFill="1" applyBorder="1" applyAlignment="1">
      <alignment horizontal="center"/>
    </xf>
    <xf numFmtId="43" fontId="6" fillId="2" borderId="1" xfId="1" applyFont="1" applyFill="1" applyBorder="1" applyAlignment="1">
      <alignment horizontal="center" vertical="center"/>
    </xf>
    <xf numFmtId="0" fontId="3" fillId="2" borderId="1" xfId="0" applyFont="1" applyFill="1" applyBorder="1" applyAlignment="1">
      <alignment horizontal="center" vertical="justify"/>
    </xf>
    <xf numFmtId="43" fontId="7" fillId="2" borderId="1" xfId="1" applyFont="1" applyFill="1" applyBorder="1" applyAlignment="1">
      <alignment horizontal="center" vertical="center"/>
    </xf>
    <xf numFmtId="43" fontId="4" fillId="2" borderId="1" xfId="0" applyNumberFormat="1" applyFont="1" applyFill="1" applyBorder="1"/>
    <xf numFmtId="43" fontId="6" fillId="2" borderId="1" xfId="1" applyFont="1" applyFill="1" applyBorder="1"/>
    <xf numFmtId="43" fontId="7" fillId="2" borderId="1" xfId="0" applyNumberFormat="1" applyFont="1" applyFill="1" applyBorder="1"/>
    <xf numFmtId="44" fontId="6" fillId="2" borderId="1" xfId="2" applyFont="1" applyFill="1" applyBorder="1"/>
    <xf numFmtId="43" fontId="6" fillId="2" borderId="1" xfId="0" applyNumberFormat="1" applyFont="1" applyFill="1" applyBorder="1"/>
    <xf numFmtId="4" fontId="4" fillId="2" borderId="1" xfId="0" applyNumberFormat="1" applyFont="1" applyFill="1" applyBorder="1"/>
    <xf numFmtId="44" fontId="4" fillId="2" borderId="1" xfId="2" applyFont="1" applyFill="1" applyBorder="1"/>
    <xf numFmtId="43" fontId="16" fillId="2" borderId="1" xfId="1" applyFont="1" applyFill="1" applyBorder="1" applyAlignment="1">
      <alignment horizontal="center" vertical="center"/>
    </xf>
    <xf numFmtId="0" fontId="2" fillId="2" borderId="1" xfId="0" applyFont="1" applyFill="1" applyBorder="1"/>
    <xf numFmtId="0" fontId="16" fillId="3" borderId="1" xfId="0" applyFont="1" applyFill="1" applyBorder="1"/>
    <xf numFmtId="43" fontId="13" fillId="2" borderId="0" xfId="1" applyFont="1" applyFill="1" applyBorder="1"/>
    <xf numFmtId="164" fontId="14"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44" fontId="8" fillId="2" borderId="1" xfId="2"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justify" vertical="center" wrapText="1"/>
    </xf>
    <xf numFmtId="0" fontId="8" fillId="2" borderId="1" xfId="0" applyFont="1" applyFill="1" applyBorder="1" applyAlignment="1">
      <alignment horizontal="justify" vertical="top"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14" fillId="2" borderId="0"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readingOrder="1"/>
    </xf>
    <xf numFmtId="0" fontId="17" fillId="2" borderId="0" xfId="0" applyFont="1" applyFill="1" applyAlignment="1">
      <alignment horizontal="center" vertical="center" wrapText="1"/>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3" xfId="0" applyFont="1" applyFill="1" applyBorder="1" applyAlignment="1">
      <alignment horizontal="center" vertical="center" textRotation="91" wrapText="1"/>
    </xf>
    <xf numFmtId="0" fontId="16" fillId="3" borderId="4" xfId="0" applyFont="1" applyFill="1" applyBorder="1" applyAlignment="1">
      <alignment horizontal="center" vertical="center" textRotation="91"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vertical="center" textRotation="91" wrapText="1"/>
    </xf>
    <xf numFmtId="0" fontId="17" fillId="2" borderId="0" xfId="0" applyFont="1" applyFill="1" applyAlignment="1">
      <alignment horizontal="left" vertical="center" wrapText="1"/>
    </xf>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textRotation="91"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8" fillId="2" borderId="0" xfId="0" applyFont="1" applyFill="1" applyAlignment="1">
      <alignment wrapText="1"/>
    </xf>
    <xf numFmtId="0" fontId="14" fillId="2" borderId="1" xfId="0" applyFont="1" applyFill="1" applyBorder="1" applyAlignment="1">
      <alignment horizontal="center" vertical="center" wrapText="1"/>
    </xf>
    <xf numFmtId="0" fontId="18" fillId="2" borderId="0" xfId="0" applyFont="1" applyFill="1" applyAlignment="1">
      <alignment horizont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textRotation="91" wrapText="1"/>
    </xf>
    <xf numFmtId="0" fontId="12" fillId="2" borderId="1" xfId="0" applyFont="1" applyFill="1" applyBorder="1" applyAlignment="1">
      <alignment horizontal="center" vertical="center" wrapText="1"/>
    </xf>
    <xf numFmtId="0" fontId="13" fillId="2" borderId="0" xfId="0" applyFont="1" applyFill="1" applyAlignment="1">
      <alignment horizontal="left" vertical="center" wrapText="1"/>
    </xf>
    <xf numFmtId="0" fontId="16" fillId="3" borderId="5"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4" fillId="2" borderId="1" xfId="0" applyFont="1" applyFill="1" applyBorder="1" applyAlignment="1">
      <alignment horizontal="center" vertical="center" wrapText="1" readingOrder="1"/>
    </xf>
    <xf numFmtId="0" fontId="16" fillId="3" borderId="5" xfId="0" applyFont="1" applyFill="1" applyBorder="1" applyAlignment="1">
      <alignment horizontal="center" vertical="center" textRotation="91" wrapText="1"/>
    </xf>
    <xf numFmtId="0" fontId="16" fillId="3" borderId="12" xfId="0" applyFont="1" applyFill="1" applyBorder="1" applyAlignment="1">
      <alignment horizontal="center" vertical="center" textRotation="91" wrapText="1"/>
    </xf>
    <xf numFmtId="0" fontId="12" fillId="3" borderId="5"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5" borderId="1" xfId="0" applyFont="1" applyFill="1" applyBorder="1" applyAlignment="1">
      <alignment horizontal="center" vertical="center"/>
    </xf>
    <xf numFmtId="0" fontId="8" fillId="2" borderId="1" xfId="0" applyFont="1" applyFill="1" applyBorder="1" applyAlignment="1">
      <alignment horizontal="justify" vertical="top" wrapText="1"/>
    </xf>
    <xf numFmtId="0" fontId="13" fillId="2" borderId="0" xfId="0" applyFont="1" applyFill="1" applyBorder="1" applyAlignment="1">
      <alignment horizontal="center" vertical="center" wrapText="1"/>
    </xf>
    <xf numFmtId="43" fontId="14" fillId="2" borderId="0" xfId="1" applyFont="1" applyFill="1" applyBorder="1" applyAlignment="1">
      <alignment horizontal="center" vertical="center" wrapText="1"/>
    </xf>
    <xf numFmtId="0" fontId="10" fillId="0" borderId="0" xfId="0" applyFont="1" applyFill="1"/>
    <xf numFmtId="0" fontId="10" fillId="0" borderId="0" xfId="0" applyFont="1" applyFill="1" applyAlignment="1">
      <alignment horizont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left" vertical="center" wrapText="1"/>
    </xf>
    <xf numFmtId="0" fontId="26" fillId="0" borderId="0" xfId="0" applyFont="1" applyFill="1" applyBorder="1" applyAlignment="1">
      <alignment horizontal="lef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426244</xdr:colOff>
      <xdr:row>0</xdr:row>
      <xdr:rowOff>45244</xdr:rowOff>
    </xdr:from>
    <xdr:to>
      <xdr:col>4</xdr:col>
      <xdr:colOff>664368</xdr:colOff>
      <xdr:row>2</xdr:row>
      <xdr:rowOff>46740</xdr:rowOff>
    </xdr:to>
    <xdr:pic>
      <xdr:nvPicPr>
        <xdr:cNvPr id="3" name="Imagen 2" descr="C:\Users\Lic. Leonardo Luna\AppData\Local\Microsoft\Windows\Temporary Internet Files\Content.Word\faardvo.png"/>
        <xdr:cNvPicPr>
          <a:picLocks noChangeAspect="1" noChangeArrowheads="1"/>
        </xdr:cNvPicPr>
      </xdr:nvPicPr>
      <xdr:blipFill>
        <a:blip xmlns:r="http://schemas.openxmlformats.org/officeDocument/2006/relationships" r:embed="rId1" cstate="print"/>
        <a:srcRect/>
        <a:stretch>
          <a:fillRect/>
        </a:stretch>
      </xdr:blipFill>
      <xdr:spPr bwMode="auto">
        <a:xfrm>
          <a:off x="4502944" y="45244"/>
          <a:ext cx="1390649" cy="487271"/>
        </a:xfrm>
        <a:prstGeom prst="rect">
          <a:avLst/>
        </a:prstGeom>
        <a:noFill/>
        <a:ln w="9525">
          <a:noFill/>
          <a:miter lim="800000"/>
          <a:headEnd/>
          <a:tailEnd/>
        </a:ln>
      </xdr:spPr>
    </xdr:pic>
    <xdr:clientData/>
  </xdr:twoCellAnchor>
  <xdr:twoCellAnchor>
    <xdr:from>
      <xdr:col>0</xdr:col>
      <xdr:colOff>0</xdr:colOff>
      <xdr:row>0</xdr:row>
      <xdr:rowOff>38100</xdr:rowOff>
    </xdr:from>
    <xdr:to>
      <xdr:col>1</xdr:col>
      <xdr:colOff>618525</xdr:colOff>
      <xdr:row>1</xdr:row>
      <xdr:rowOff>325826</xdr:rowOff>
    </xdr:to>
    <xdr:pic>
      <xdr:nvPicPr>
        <xdr:cNvPr id="4" name="3 Imagen" descr="logo completo sgobedo.bmp"/>
        <xdr:cNvPicPr>
          <a:picLocks noChangeAspect="1"/>
        </xdr:cNvPicPr>
      </xdr:nvPicPr>
      <xdr:blipFill>
        <a:blip xmlns:r="http://schemas.openxmlformats.org/officeDocument/2006/relationships" r:embed="rId2" cstate="print"/>
        <a:stretch>
          <a:fillRect/>
        </a:stretch>
      </xdr:blipFill>
      <xdr:spPr>
        <a:xfrm>
          <a:off x="0" y="38100"/>
          <a:ext cx="1380525" cy="402026"/>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LOR/Desktop/CTA.P&#218;B.%20ENE-MAR%2016/INFORMAC.%20CONTABLE-PPTAL/ANEXOS%20ENE-MAR%202016.xlsx%20FONDO%20DE%20AYUD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EDO ING Y EGR BIMESTRAL"/>
      <sheetName val="EDO ORG Y APL BIMESTRAL"/>
      <sheetName val="BALANZA"/>
      <sheetName val="NOTAS"/>
      <sheetName val="BANCOS"/>
      <sheetName val="279789392"/>
      <sheetName val="281482409"/>
      <sheetName val="DD"/>
      <sheetName val="CTAS POR COBRAR"/>
      <sheetName val="B INMUEBLES"/>
      <sheetName val="B MUEBLES"/>
      <sheetName val="OBRAS EN PROC"/>
      <sheetName val="ANTICIPOS"/>
      <sheetName val="PROVEEDORES"/>
      <sheetName val="ACREED DIV"/>
      <sheetName val="FDO EN ADMON A CTA 3ROS"/>
      <sheetName val="GRAF-SIT FRA"/>
      <sheetName val="ING-TRIMESTRAL"/>
      <sheetName val="ING-ACUM"/>
      <sheetName val="EG-TRIMESTRAL"/>
      <sheetName val="EG-ACUM"/>
      <sheetName val="GRAF-ING Y EGR"/>
      <sheetName val="PATRIMONIO"/>
      <sheetName val="MOD PATRIMONIAL"/>
      <sheetName val="ING PROPIOS"/>
      <sheetName val="MOD EJ ANT"/>
      <sheetName val="TRIMESTRAL"/>
      <sheetName val="PPERSONAL "/>
      <sheetName val="EDO PPTO ING"/>
      <sheetName val="EDO PPTO EG"/>
    </sheetNames>
    <sheetDataSet>
      <sheetData sheetId="0"/>
      <sheetData sheetId="1"/>
      <sheetData sheetId="2"/>
      <sheetData sheetId="3">
        <row r="3">
          <cell r="A3" t="str">
            <v>FIDEICOMISO FONDO DE AYUDA, ASISTENCIA Y REPARACIÓN DE DAÑO A LAS VÍCTIMAS Y OFENDIDOS, PARA EL ESTADO DE TLAXCALA</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3" tint="0.39997558519241921"/>
  </sheetPr>
  <dimension ref="A1:AB45"/>
  <sheetViews>
    <sheetView tabSelected="1" workbookViewId="0">
      <selection activeCell="C24" sqref="C24"/>
    </sheetView>
  </sheetViews>
  <sheetFormatPr baseColWidth="10" defaultRowHeight="15"/>
  <cols>
    <col min="1" max="1" width="11.42578125" style="26"/>
    <col min="2" max="2" width="36.85546875" style="26" customWidth="1"/>
    <col min="3" max="3" width="12.85546875" style="26" bestFit="1" customWidth="1"/>
    <col min="4" max="4" width="17.28515625" style="26" customWidth="1"/>
    <col min="5" max="16384" width="11.42578125" style="26"/>
  </cols>
  <sheetData>
    <row r="1" spans="1:28" s="230" customFormat="1" ht="9" customHeight="1">
      <c r="B1" s="231"/>
      <c r="D1" s="231"/>
    </row>
    <row r="2" spans="1:28" s="230" customFormat="1" ht="29.25" customHeight="1">
      <c r="A2" s="232"/>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row>
    <row r="3" spans="1:28" s="230" customFormat="1" ht="40.5" customHeight="1">
      <c r="A3" s="235" t="str">
        <f>[1]BALANZA!A3</f>
        <v>FIDEICOMISO FONDO DE AYUDA, ASISTENCIA Y REPARACIÓN DE DAÑO A LAS VÍCTIMAS Y OFENDIDOS, PARA EL ESTADO DE TLAXCALA</v>
      </c>
      <c r="B3" s="235"/>
      <c r="C3" s="235"/>
      <c r="D3" s="235"/>
      <c r="E3" s="235"/>
      <c r="F3" s="234"/>
      <c r="G3" s="234"/>
      <c r="H3" s="234"/>
      <c r="I3" s="234"/>
      <c r="J3" s="234"/>
      <c r="K3" s="234"/>
      <c r="L3" s="234"/>
      <c r="M3" s="234"/>
      <c r="N3" s="234"/>
      <c r="O3" s="234"/>
      <c r="P3" s="234"/>
      <c r="Q3" s="234"/>
      <c r="R3" s="234"/>
      <c r="S3" s="234"/>
      <c r="T3" s="234"/>
      <c r="U3" s="234"/>
      <c r="V3" s="234"/>
      <c r="W3" s="234"/>
      <c r="X3" s="234"/>
      <c r="Y3" s="234"/>
      <c r="Z3" s="234"/>
      <c r="AA3" s="234"/>
      <c r="AB3" s="234"/>
    </row>
    <row r="4" spans="1:28" s="230" customFormat="1" ht="40.5" customHeight="1">
      <c r="A4" s="236"/>
      <c r="B4" s="236"/>
      <c r="C4" s="236"/>
      <c r="D4" s="236"/>
      <c r="E4" s="236"/>
      <c r="F4" s="234"/>
      <c r="G4" s="234"/>
      <c r="H4" s="234"/>
      <c r="I4" s="234"/>
      <c r="J4" s="234"/>
      <c r="K4" s="234"/>
      <c r="L4" s="234"/>
      <c r="M4" s="234"/>
      <c r="N4" s="234"/>
      <c r="O4" s="234"/>
      <c r="P4" s="234"/>
      <c r="Q4" s="234"/>
      <c r="R4" s="234"/>
      <c r="S4" s="234"/>
      <c r="T4" s="234"/>
      <c r="U4" s="234"/>
      <c r="V4" s="234"/>
      <c r="W4" s="234"/>
      <c r="X4" s="234"/>
      <c r="Y4" s="234"/>
      <c r="Z4" s="234"/>
      <c r="AA4" s="234"/>
      <c r="AB4" s="234"/>
    </row>
    <row r="5" spans="1:28" s="230" customFormat="1" ht="18">
      <c r="A5" s="233"/>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row>
    <row r="6" spans="1:28" ht="15.75">
      <c r="A6" s="57" t="s">
        <v>469</v>
      </c>
    </row>
    <row r="7" spans="1:28">
      <c r="A7" s="25"/>
    </row>
    <row r="8" spans="1:28" ht="15.75">
      <c r="A8" s="27" t="s">
        <v>461</v>
      </c>
      <c r="B8" s="27"/>
      <c r="C8" s="28">
        <v>308492</v>
      </c>
    </row>
    <row r="9" spans="1:28" ht="15.75">
      <c r="A9" s="27"/>
      <c r="B9" s="27"/>
      <c r="C9" s="28"/>
    </row>
    <row r="10" spans="1:28" ht="15.75">
      <c r="A10" s="27" t="s">
        <v>462</v>
      </c>
      <c r="B10" s="27"/>
      <c r="C10" s="28">
        <v>306555</v>
      </c>
    </row>
    <row r="11" spans="1:28" ht="15.75">
      <c r="A11" s="27"/>
      <c r="B11" s="27"/>
      <c r="C11" s="28"/>
    </row>
    <row r="12" spans="1:28" ht="15.75">
      <c r="A12" s="29" t="s">
        <v>15</v>
      </c>
      <c r="B12" s="27"/>
      <c r="C12" s="28">
        <v>237930</v>
      </c>
      <c r="E12" s="30"/>
    </row>
    <row r="13" spans="1:28" ht="15.75">
      <c r="A13" s="29"/>
      <c r="B13" s="29"/>
      <c r="C13" s="28"/>
    </row>
    <row r="14" spans="1:28" ht="15.75">
      <c r="A14" s="29" t="s">
        <v>463</v>
      </c>
      <c r="B14" s="29"/>
      <c r="C14" s="28">
        <v>367647</v>
      </c>
    </row>
    <row r="15" spans="1:28" ht="15.75">
      <c r="A15" s="29"/>
      <c r="B15" s="29"/>
      <c r="C15" s="28"/>
    </row>
    <row r="16" spans="1:28" ht="15.75">
      <c r="A16" s="29" t="s">
        <v>464</v>
      </c>
      <c r="B16" s="29"/>
      <c r="C16" s="28">
        <v>14496</v>
      </c>
    </row>
    <row r="17" spans="1:4" ht="15.75">
      <c r="A17" s="27"/>
      <c r="B17" s="29"/>
      <c r="C17" s="28"/>
    </row>
    <row r="18" spans="1:4" ht="15.75">
      <c r="A18" s="27" t="s">
        <v>465</v>
      </c>
      <c r="B18" s="27"/>
      <c r="C18" s="28">
        <v>8548</v>
      </c>
    </row>
    <row r="19" spans="1:4" ht="15.75">
      <c r="A19" s="27"/>
      <c r="B19" s="27"/>
      <c r="C19" s="28"/>
    </row>
    <row r="20" spans="1:4" ht="15.75">
      <c r="A20" s="27" t="s">
        <v>466</v>
      </c>
      <c r="B20" s="27"/>
      <c r="C20" s="31">
        <v>53898</v>
      </c>
      <c r="D20" s="28">
        <f>SUM(C8:C20)</f>
        <v>1297566</v>
      </c>
    </row>
    <row r="21" spans="1:4" ht="15.75">
      <c r="D21" s="28"/>
    </row>
    <row r="22" spans="1:4" ht="15.75">
      <c r="D22" s="28"/>
    </row>
    <row r="23" spans="1:4" ht="15.75">
      <c r="D23" s="28"/>
    </row>
    <row r="24" spans="1:4" ht="15.75">
      <c r="D24" s="28"/>
    </row>
    <row r="25" spans="1:4" ht="15.75">
      <c r="D25" s="28"/>
    </row>
    <row r="26" spans="1:4" ht="15.75">
      <c r="D26" s="28"/>
    </row>
    <row r="27" spans="1:4" ht="15.75">
      <c r="D27" s="28"/>
    </row>
    <row r="28" spans="1:4" ht="15.75">
      <c r="D28" s="28"/>
    </row>
    <row r="29" spans="1:4" ht="15.75">
      <c r="D29" s="28"/>
    </row>
    <row r="30" spans="1:4" ht="15.75">
      <c r="A30" s="57" t="s">
        <v>468</v>
      </c>
      <c r="D30" s="28"/>
    </row>
    <row r="31" spans="1:4" ht="15.75">
      <c r="A31" s="25"/>
      <c r="D31" s="28"/>
    </row>
    <row r="32" spans="1:4" ht="15.75">
      <c r="A32" s="27" t="s">
        <v>391</v>
      </c>
      <c r="B32" s="27"/>
      <c r="C32" s="28">
        <v>200000</v>
      </c>
      <c r="D32" s="28"/>
    </row>
    <row r="33" spans="1:4" ht="15.75">
      <c r="A33" s="27"/>
      <c r="B33" s="27"/>
      <c r="C33" s="28"/>
      <c r="D33" s="28"/>
    </row>
    <row r="34" spans="1:4" ht="15.75">
      <c r="A34" s="27" t="s">
        <v>467</v>
      </c>
      <c r="B34" s="27"/>
      <c r="C34" s="31">
        <v>3124187</v>
      </c>
      <c r="D34" s="31">
        <f>SUM(C32:C34)</f>
        <v>3324187</v>
      </c>
    </row>
    <row r="35" spans="1:4" ht="15.75">
      <c r="D35" s="28"/>
    </row>
    <row r="36" spans="1:4" ht="15.75">
      <c r="D36" s="28"/>
    </row>
    <row r="37" spans="1:4" ht="15.75">
      <c r="A37" s="57" t="s">
        <v>16</v>
      </c>
      <c r="D37" s="107">
        <f>+D20+D34</f>
        <v>4621753</v>
      </c>
    </row>
    <row r="42" spans="1:4" ht="10.5" customHeight="1"/>
    <row r="43" spans="1:4" ht="0.75" hidden="1" customHeight="1">
      <c r="B43" s="56" t="s">
        <v>1017</v>
      </c>
      <c r="D43" s="56" t="s">
        <v>1018</v>
      </c>
    </row>
    <row r="44" spans="1:4" ht="12.75" customHeight="1"/>
    <row r="45" spans="1:4" ht="1.5" hidden="1" customHeight="1">
      <c r="B45" s="56" t="s">
        <v>1016</v>
      </c>
      <c r="D45" s="56" t="s">
        <v>538</v>
      </c>
    </row>
  </sheetData>
  <mergeCells count="2">
    <mergeCell ref="A2:AB2"/>
    <mergeCell ref="A3:E3"/>
  </mergeCells>
  <pageMargins left="0.70866141732283472" right="0.70866141732283472" top="1.1811023622047245" bottom="0.74803149606299213" header="0.51181102362204722" footer="0.31496062992125984"/>
  <pageSetup orientation="portrait" horizontalDpi="4294967293" r:id="rId1"/>
  <drawing r:id="rId2"/>
</worksheet>
</file>

<file path=xl/worksheets/sheet10.xml><?xml version="1.0" encoding="utf-8"?>
<worksheet xmlns="http://schemas.openxmlformats.org/spreadsheetml/2006/main" xmlns:r="http://schemas.openxmlformats.org/officeDocument/2006/relationships">
  <dimension ref="A1:J31"/>
  <sheetViews>
    <sheetView workbookViewId="0">
      <selection activeCell="K18" sqref="K18"/>
    </sheetView>
  </sheetViews>
  <sheetFormatPr baseColWidth="10" defaultRowHeight="11.25"/>
  <cols>
    <col min="1" max="1" width="9.28515625" style="36" customWidth="1"/>
    <col min="2" max="2" width="12.140625" style="36" customWidth="1"/>
    <col min="3" max="3" width="21" style="36" customWidth="1"/>
    <col min="4" max="4" width="8.5703125" style="36" customWidth="1"/>
    <col min="5" max="5" width="10.7109375" style="36" bestFit="1" customWidth="1"/>
    <col min="6" max="6" width="19.7109375" style="36" customWidth="1"/>
    <col min="7" max="7" width="12.5703125" style="36" customWidth="1"/>
    <col min="8" max="8" width="12" style="36" customWidth="1"/>
    <col min="9" max="9" width="11.5703125" style="36" customWidth="1"/>
    <col min="10" max="10" width="12.85546875" style="36" customWidth="1"/>
    <col min="11" max="16384" width="11.42578125" style="36"/>
  </cols>
  <sheetData>
    <row r="1" spans="1:10" ht="15.75">
      <c r="A1" s="23" t="s">
        <v>467</v>
      </c>
    </row>
    <row r="3" spans="1:10" s="55" customFormat="1" ht="26.25" customHeight="1">
      <c r="A3" s="226" t="s">
        <v>1012</v>
      </c>
      <c r="B3" s="226"/>
      <c r="C3" s="226"/>
      <c r="D3" s="177" t="s">
        <v>1010</v>
      </c>
      <c r="E3" s="178" t="s">
        <v>1008</v>
      </c>
      <c r="F3" s="178" t="s">
        <v>1006</v>
      </c>
      <c r="G3" s="178" t="s">
        <v>840</v>
      </c>
      <c r="H3" s="178" t="s">
        <v>18</v>
      </c>
      <c r="I3" s="177" t="s">
        <v>470</v>
      </c>
      <c r="J3" s="177" t="s">
        <v>1115</v>
      </c>
    </row>
    <row r="4" spans="1:10" ht="69" customHeight="1">
      <c r="A4" s="227" t="s">
        <v>1013</v>
      </c>
      <c r="B4" s="227"/>
      <c r="C4" s="227"/>
      <c r="D4" s="172" t="s">
        <v>1011</v>
      </c>
      <c r="E4" s="175" t="s">
        <v>1009</v>
      </c>
      <c r="F4" s="176" t="s">
        <v>1007</v>
      </c>
      <c r="G4" s="173">
        <v>3124187.46</v>
      </c>
      <c r="H4" s="174" t="s">
        <v>1004</v>
      </c>
      <c r="I4" s="171" t="s">
        <v>1043</v>
      </c>
      <c r="J4" s="172" t="s">
        <v>1123</v>
      </c>
    </row>
    <row r="10" spans="1:10">
      <c r="A10" s="55" t="s">
        <v>394</v>
      </c>
      <c r="B10" s="55" t="s">
        <v>393</v>
      </c>
      <c r="C10" s="55" t="s">
        <v>115</v>
      </c>
      <c r="D10" s="55" t="s">
        <v>397</v>
      </c>
      <c r="E10" s="55" t="s">
        <v>396</v>
      </c>
      <c r="F10" s="55" t="s">
        <v>399</v>
      </c>
      <c r="G10" s="55" t="s">
        <v>398</v>
      </c>
      <c r="H10" s="55" t="s">
        <v>13</v>
      </c>
    </row>
    <row r="11" spans="1:10">
      <c r="A11" s="75">
        <v>38230</v>
      </c>
      <c r="B11" s="76">
        <v>1516</v>
      </c>
      <c r="C11" s="36" t="s">
        <v>395</v>
      </c>
      <c r="D11" s="76">
        <v>1</v>
      </c>
      <c r="E11" s="77">
        <v>132723.20000000001</v>
      </c>
      <c r="F11" s="77">
        <v>309687.48</v>
      </c>
      <c r="G11" s="77">
        <v>46453.114999999998</v>
      </c>
      <c r="H11" s="77">
        <f>+E11+F11+G11</f>
        <v>488863.79499999998</v>
      </c>
      <c r="I11" s="77"/>
    </row>
    <row r="12" spans="1:10">
      <c r="A12" s="75">
        <v>37183</v>
      </c>
      <c r="B12" s="76">
        <v>1531</v>
      </c>
      <c r="C12" s="36" t="s">
        <v>395</v>
      </c>
      <c r="D12" s="76">
        <v>2</v>
      </c>
      <c r="E12" s="77">
        <v>237255.49</v>
      </c>
      <c r="F12" s="77">
        <v>553596.16000000003</v>
      </c>
      <c r="G12" s="77">
        <v>83039.42</v>
      </c>
      <c r="H12" s="77">
        <f>+E12+F12+G12</f>
        <v>873891.07000000007</v>
      </c>
      <c r="I12" s="77"/>
    </row>
    <row r="13" spans="1:10">
      <c r="A13" s="75">
        <v>38303</v>
      </c>
      <c r="B13" s="76">
        <v>1538</v>
      </c>
      <c r="C13" s="36" t="s">
        <v>395</v>
      </c>
      <c r="D13" s="76">
        <v>3</v>
      </c>
      <c r="E13" s="77">
        <v>89815.66</v>
      </c>
      <c r="F13" s="77">
        <v>209569.86</v>
      </c>
      <c r="G13" s="77">
        <v>31435.48</v>
      </c>
      <c r="H13" s="77">
        <f>+E13+F13+G13</f>
        <v>330821</v>
      </c>
      <c r="I13" s="77"/>
    </row>
    <row r="14" spans="1:10">
      <c r="A14" s="75">
        <v>38328</v>
      </c>
      <c r="B14" s="76">
        <v>1551</v>
      </c>
      <c r="C14" s="36" t="s">
        <v>395</v>
      </c>
      <c r="D14" s="76">
        <v>4</v>
      </c>
      <c r="E14" s="77">
        <v>180160.83</v>
      </c>
      <c r="F14" s="77">
        <v>420375.26</v>
      </c>
      <c r="G14" s="77">
        <v>63056.29</v>
      </c>
      <c r="H14" s="77">
        <f>+E14+F14+G14</f>
        <v>663592.38</v>
      </c>
      <c r="I14" s="77"/>
    </row>
    <row r="15" spans="1:10">
      <c r="D15" s="76">
        <v>5</v>
      </c>
      <c r="E15" s="78">
        <f>95993.27+86152.65</f>
        <v>182145.91999999998</v>
      </c>
      <c r="F15" s="78">
        <f>419008.13/1.15</f>
        <v>364354.89565217396</v>
      </c>
      <c r="G15" s="78">
        <f>+F15*0.15</f>
        <v>54653.234347826095</v>
      </c>
      <c r="H15" s="78">
        <f>+E15+F15+G15</f>
        <v>601154.05000000005</v>
      </c>
      <c r="I15" s="77"/>
    </row>
    <row r="16" spans="1:10">
      <c r="E16" s="79">
        <f>SUM(E11:E15)</f>
        <v>822101.09999999986</v>
      </c>
      <c r="F16" s="77">
        <f>SUM(F11:F15)</f>
        <v>1857583.655652174</v>
      </c>
      <c r="G16" s="77">
        <f>SUM(G11:G15)</f>
        <v>278637.5393478261</v>
      </c>
      <c r="H16" s="77">
        <f>SUM(H11:H15)</f>
        <v>2958322.2949999999</v>
      </c>
    </row>
    <row r="17" spans="1:8" ht="22.5">
      <c r="D17" s="80" t="s">
        <v>402</v>
      </c>
      <c r="E17" s="77">
        <f>+E16*0.15</f>
        <v>123315.16499999998</v>
      </c>
      <c r="F17" s="77"/>
      <c r="G17" s="77"/>
      <c r="H17" s="78">
        <f>+E17</f>
        <v>123315.16499999998</v>
      </c>
    </row>
    <row r="18" spans="1:8">
      <c r="H18" s="81">
        <f>+H16+H17</f>
        <v>3081637.46</v>
      </c>
    </row>
    <row r="19" spans="1:8" ht="22.5">
      <c r="A19" s="75">
        <v>37786</v>
      </c>
      <c r="B19" s="76" t="s">
        <v>403</v>
      </c>
      <c r="C19" s="80" t="s">
        <v>400</v>
      </c>
      <c r="D19" s="76" t="s">
        <v>401</v>
      </c>
      <c r="H19" s="77">
        <v>42550</v>
      </c>
    </row>
    <row r="20" spans="1:8">
      <c r="H20" s="82">
        <f>+H18+H19</f>
        <v>3124187.46</v>
      </c>
    </row>
    <row r="31" spans="1:8">
      <c r="F31" s="36" t="s">
        <v>1124</v>
      </c>
    </row>
  </sheetData>
  <mergeCells count="2">
    <mergeCell ref="A3:C3"/>
    <mergeCell ref="A4:C4"/>
  </mergeCells>
  <pageMargins left="0.70866141732283472" right="0.70866141732283472" top="0.74803149606299213" bottom="0.74803149606299213" header="0.31496062992125984" footer="0.31496062992125984"/>
  <pageSetup paperSize="9" orientation="landscape" horizontalDpi="4294967294" r:id="rId1"/>
  <headerFooter>
    <oddHeader>&amp;CFIDEICOMISO FONDO DE AYUDA, ASISTENCIA Y REPARACIÓN DE DAÑO A LAS VÍCTIMAS Y OFENDIDOS
RELACIÓN DE INVENTARIOS</oddHeader>
    <oddFooter>&amp;C&amp;P</oddFooter>
  </headerFooter>
</worksheet>
</file>

<file path=xl/worksheets/sheet2.xml><?xml version="1.0" encoding="utf-8"?>
<worksheet xmlns="http://schemas.openxmlformats.org/spreadsheetml/2006/main" xmlns:r="http://schemas.openxmlformats.org/officeDocument/2006/relationships">
  <sheetPr>
    <tabColor theme="5" tint="-0.249977111117893"/>
  </sheetPr>
  <dimension ref="A1:K275"/>
  <sheetViews>
    <sheetView topLeftCell="A237" zoomScale="90" zoomScaleNormal="90" workbookViewId="0">
      <selection activeCell="A228" sqref="A228:K276"/>
    </sheetView>
  </sheetViews>
  <sheetFormatPr baseColWidth="10" defaultRowHeight="12"/>
  <cols>
    <col min="1" max="1" width="14.5703125" style="121" customWidth="1"/>
    <col min="2" max="2" width="23.140625" style="121" customWidth="1"/>
    <col min="3" max="3" width="11.85546875" style="121" bestFit="1" customWidth="1"/>
    <col min="4" max="4" width="16.140625" style="121" customWidth="1"/>
    <col min="5" max="5" width="36.85546875" style="121" customWidth="1"/>
    <col min="6" max="6" width="10.140625" style="121" customWidth="1"/>
    <col min="7" max="7" width="12.85546875" style="121" customWidth="1"/>
    <col min="8" max="8" width="11.42578125" style="121" customWidth="1"/>
    <col min="9" max="9" width="19.140625" style="121" customWidth="1"/>
    <col min="10" max="10" width="18.5703125" style="121" customWidth="1"/>
    <col min="11" max="11" width="18.42578125" style="121" bestFit="1" customWidth="1"/>
    <col min="12" max="12" width="26.140625" style="121" customWidth="1"/>
    <col min="13" max="16384" width="11.42578125" style="121"/>
  </cols>
  <sheetData>
    <row r="1" spans="1:11" ht="22.5" customHeight="1">
      <c r="A1" s="183" t="s">
        <v>851</v>
      </c>
      <c r="B1" s="183"/>
      <c r="C1" s="183"/>
      <c r="D1" s="183"/>
      <c r="E1" s="183"/>
      <c r="F1" s="183"/>
    </row>
    <row r="2" spans="1:11" s="122" customFormat="1">
      <c r="A2" s="184" t="s">
        <v>17</v>
      </c>
      <c r="B2" s="184" t="s">
        <v>19</v>
      </c>
      <c r="C2" s="184" t="s">
        <v>20</v>
      </c>
      <c r="D2" s="184" t="s">
        <v>21</v>
      </c>
      <c r="E2" s="184" t="s">
        <v>22</v>
      </c>
      <c r="F2" s="184" t="s">
        <v>23</v>
      </c>
      <c r="G2" s="184" t="s">
        <v>24</v>
      </c>
      <c r="H2" s="186" t="s">
        <v>25</v>
      </c>
      <c r="I2" s="186" t="s">
        <v>18</v>
      </c>
      <c r="J2" s="188" t="s">
        <v>470</v>
      </c>
      <c r="K2" s="188" t="s">
        <v>1115</v>
      </c>
    </row>
    <row r="3" spans="1:11" s="122" customFormat="1">
      <c r="A3" s="185"/>
      <c r="B3" s="185"/>
      <c r="C3" s="185"/>
      <c r="D3" s="185"/>
      <c r="E3" s="185"/>
      <c r="F3" s="185"/>
      <c r="G3" s="185"/>
      <c r="H3" s="187"/>
      <c r="I3" s="187"/>
      <c r="J3" s="189"/>
      <c r="K3" s="189"/>
    </row>
    <row r="4" spans="1:11" ht="18" customHeight="1">
      <c r="A4" s="119" t="s">
        <v>35</v>
      </c>
      <c r="B4" s="32" t="s">
        <v>36</v>
      </c>
      <c r="C4" s="32" t="s">
        <v>37</v>
      </c>
      <c r="D4" s="119" t="s">
        <v>38</v>
      </c>
      <c r="E4" s="119" t="s">
        <v>39</v>
      </c>
      <c r="F4" s="119" t="s">
        <v>54</v>
      </c>
      <c r="G4" s="32">
        <v>285</v>
      </c>
      <c r="H4" s="134">
        <v>9585.25</v>
      </c>
      <c r="I4" s="119" t="s">
        <v>1091</v>
      </c>
      <c r="J4" s="32" t="s">
        <v>1043</v>
      </c>
      <c r="K4" s="33" t="s">
        <v>1116</v>
      </c>
    </row>
    <row r="5" spans="1:11" ht="17.25" customHeight="1">
      <c r="A5" s="119" t="s">
        <v>40</v>
      </c>
      <c r="B5" s="32" t="s">
        <v>41</v>
      </c>
      <c r="C5" s="32" t="s">
        <v>37</v>
      </c>
      <c r="D5" s="119" t="s">
        <v>38</v>
      </c>
      <c r="E5" s="119" t="s">
        <v>39</v>
      </c>
      <c r="F5" s="119" t="s">
        <v>54</v>
      </c>
      <c r="G5" s="32">
        <v>285</v>
      </c>
      <c r="H5" s="134">
        <v>0</v>
      </c>
      <c r="I5" s="119" t="s">
        <v>1091</v>
      </c>
      <c r="J5" s="32" t="s">
        <v>1043</v>
      </c>
      <c r="K5" s="124" t="s">
        <v>1116</v>
      </c>
    </row>
    <row r="6" spans="1:11" ht="15" customHeight="1">
      <c r="A6" s="119" t="s">
        <v>42</v>
      </c>
      <c r="B6" s="32" t="s">
        <v>849</v>
      </c>
      <c r="C6" s="32" t="s">
        <v>37</v>
      </c>
      <c r="D6" s="119" t="s">
        <v>38</v>
      </c>
      <c r="E6" s="119" t="s">
        <v>39</v>
      </c>
      <c r="F6" s="119" t="s">
        <v>54</v>
      </c>
      <c r="G6" s="32">
        <v>285</v>
      </c>
      <c r="H6" s="134">
        <v>0</v>
      </c>
      <c r="I6" s="119" t="s">
        <v>1091</v>
      </c>
      <c r="J6" s="32" t="s">
        <v>1043</v>
      </c>
      <c r="K6" s="124" t="s">
        <v>1116</v>
      </c>
    </row>
    <row r="7" spans="1:11" s="122" customFormat="1" ht="36">
      <c r="A7" s="32" t="s">
        <v>471</v>
      </c>
      <c r="B7" s="38" t="s">
        <v>265</v>
      </c>
      <c r="C7" s="119" t="s">
        <v>37</v>
      </c>
      <c r="D7" s="119" t="s">
        <v>92</v>
      </c>
      <c r="E7" s="119" t="s">
        <v>93</v>
      </c>
      <c r="F7" s="119" t="s">
        <v>33</v>
      </c>
      <c r="G7" s="32">
        <v>285</v>
      </c>
      <c r="H7" s="89">
        <v>1794</v>
      </c>
      <c r="I7" s="119" t="s">
        <v>1081</v>
      </c>
      <c r="J7" s="119" t="s">
        <v>1082</v>
      </c>
      <c r="K7" s="33" t="s">
        <v>1117</v>
      </c>
    </row>
    <row r="8" spans="1:11" s="122" customFormat="1" ht="41.25" customHeight="1">
      <c r="A8" s="32" t="s">
        <v>91</v>
      </c>
      <c r="B8" s="38" t="s">
        <v>266</v>
      </c>
      <c r="C8" s="119" t="s">
        <v>37</v>
      </c>
      <c r="D8" s="119" t="s">
        <v>92</v>
      </c>
      <c r="E8" s="119" t="s">
        <v>93</v>
      </c>
      <c r="F8" s="119" t="s">
        <v>33</v>
      </c>
      <c r="G8" s="32">
        <v>285</v>
      </c>
      <c r="H8" s="89">
        <v>1794</v>
      </c>
      <c r="I8" s="119" t="s">
        <v>1079</v>
      </c>
      <c r="J8" s="119" t="s">
        <v>472</v>
      </c>
      <c r="K8" s="33" t="s">
        <v>1117</v>
      </c>
    </row>
    <row r="9" spans="1:11" ht="24">
      <c r="A9" s="33" t="s">
        <v>473</v>
      </c>
      <c r="B9" s="38" t="s">
        <v>474</v>
      </c>
      <c r="C9" s="33" t="s">
        <v>37</v>
      </c>
      <c r="D9" s="33" t="s">
        <v>264</v>
      </c>
      <c r="E9" s="119" t="s">
        <v>475</v>
      </c>
      <c r="F9" s="33" t="s">
        <v>184</v>
      </c>
      <c r="G9" s="33">
        <v>285</v>
      </c>
      <c r="H9" s="123">
        <v>405.95</v>
      </c>
      <c r="I9" s="119" t="s">
        <v>1048</v>
      </c>
      <c r="J9" s="32" t="s">
        <v>1043</v>
      </c>
      <c r="K9" s="33" t="s">
        <v>1117</v>
      </c>
    </row>
    <row r="10" spans="1:11">
      <c r="A10" s="33" t="s">
        <v>477</v>
      </c>
      <c r="B10" s="38" t="s">
        <v>474</v>
      </c>
      <c r="C10" s="33" t="s">
        <v>37</v>
      </c>
      <c r="D10" s="33" t="s">
        <v>264</v>
      </c>
      <c r="E10" s="119" t="s">
        <v>475</v>
      </c>
      <c r="F10" s="33" t="s">
        <v>184</v>
      </c>
      <c r="G10" s="33">
        <v>285</v>
      </c>
      <c r="H10" s="123">
        <v>405.95</v>
      </c>
      <c r="I10" s="119" t="s">
        <v>1091</v>
      </c>
      <c r="J10" s="32" t="s">
        <v>1043</v>
      </c>
      <c r="K10" s="124" t="s">
        <v>1116</v>
      </c>
    </row>
    <row r="11" spans="1:11">
      <c r="A11" s="33" t="s">
        <v>478</v>
      </c>
      <c r="B11" s="38" t="s">
        <v>474</v>
      </c>
      <c r="C11" s="33" t="s">
        <v>37</v>
      </c>
      <c r="D11" s="33" t="s">
        <v>264</v>
      </c>
      <c r="E11" s="119" t="s">
        <v>475</v>
      </c>
      <c r="F11" s="33" t="s">
        <v>184</v>
      </c>
      <c r="G11" s="33">
        <v>285</v>
      </c>
      <c r="H11" s="123">
        <v>405.95</v>
      </c>
      <c r="I11" s="119" t="s">
        <v>1059</v>
      </c>
      <c r="J11" s="32" t="s">
        <v>1043</v>
      </c>
      <c r="K11" s="33" t="s">
        <v>1117</v>
      </c>
    </row>
    <row r="12" spans="1:11">
      <c r="A12" s="33" t="s">
        <v>501</v>
      </c>
      <c r="B12" s="38" t="s">
        <v>474</v>
      </c>
      <c r="C12" s="33" t="s">
        <v>37</v>
      </c>
      <c r="D12" s="33" t="s">
        <v>264</v>
      </c>
      <c r="E12" s="119" t="s">
        <v>475</v>
      </c>
      <c r="F12" s="33" t="s">
        <v>184</v>
      </c>
      <c r="G12" s="33">
        <v>285</v>
      </c>
      <c r="H12" s="123">
        <v>405.95</v>
      </c>
      <c r="I12" s="119" t="s">
        <v>1106</v>
      </c>
      <c r="J12" s="32" t="s">
        <v>1043</v>
      </c>
      <c r="K12" s="124" t="s">
        <v>1118</v>
      </c>
    </row>
    <row r="13" spans="1:11">
      <c r="A13" s="33" t="s">
        <v>479</v>
      </c>
      <c r="B13" s="38" t="s">
        <v>474</v>
      </c>
      <c r="C13" s="33" t="s">
        <v>37</v>
      </c>
      <c r="D13" s="33" t="s">
        <v>264</v>
      </c>
      <c r="E13" s="119" t="s">
        <v>475</v>
      </c>
      <c r="F13" s="33" t="s">
        <v>184</v>
      </c>
      <c r="G13" s="33">
        <v>285</v>
      </c>
      <c r="H13" s="123">
        <v>405.95</v>
      </c>
      <c r="I13" s="119" t="s">
        <v>1058</v>
      </c>
      <c r="J13" s="32" t="s">
        <v>1043</v>
      </c>
      <c r="K13" s="33" t="s">
        <v>1117</v>
      </c>
    </row>
    <row r="14" spans="1:11">
      <c r="A14" s="33" t="s">
        <v>481</v>
      </c>
      <c r="B14" s="38" t="s">
        <v>474</v>
      </c>
      <c r="C14" s="33" t="s">
        <v>37</v>
      </c>
      <c r="D14" s="33" t="s">
        <v>264</v>
      </c>
      <c r="E14" s="119" t="s">
        <v>475</v>
      </c>
      <c r="F14" s="33" t="s">
        <v>54</v>
      </c>
      <c r="G14" s="33">
        <v>285</v>
      </c>
      <c r="H14" s="123">
        <v>405.95</v>
      </c>
      <c r="I14" s="119" t="s">
        <v>1091</v>
      </c>
      <c r="J14" s="32" t="s">
        <v>1043</v>
      </c>
      <c r="K14" s="124" t="s">
        <v>1116</v>
      </c>
    </row>
    <row r="15" spans="1:11">
      <c r="A15" s="33" t="s">
        <v>482</v>
      </c>
      <c r="B15" s="38" t="s">
        <v>474</v>
      </c>
      <c r="C15" s="33" t="s">
        <v>37</v>
      </c>
      <c r="D15" s="33" t="s">
        <v>264</v>
      </c>
      <c r="E15" s="119" t="s">
        <v>475</v>
      </c>
      <c r="F15" s="33" t="s">
        <v>54</v>
      </c>
      <c r="G15" s="33">
        <v>285</v>
      </c>
      <c r="H15" s="123">
        <v>405.95</v>
      </c>
      <c r="I15" s="119" t="s">
        <v>1091</v>
      </c>
      <c r="J15" s="32" t="s">
        <v>1043</v>
      </c>
      <c r="K15" s="124" t="s">
        <v>1116</v>
      </c>
    </row>
    <row r="16" spans="1:11">
      <c r="A16" s="33" t="s">
        <v>483</v>
      </c>
      <c r="B16" s="38" t="s">
        <v>474</v>
      </c>
      <c r="C16" s="33" t="s">
        <v>37</v>
      </c>
      <c r="D16" s="33" t="s">
        <v>264</v>
      </c>
      <c r="E16" s="119" t="s">
        <v>475</v>
      </c>
      <c r="F16" s="33" t="s">
        <v>54</v>
      </c>
      <c r="G16" s="33">
        <v>285</v>
      </c>
      <c r="H16" s="123">
        <v>405.95</v>
      </c>
      <c r="I16" s="119" t="s">
        <v>1091</v>
      </c>
      <c r="J16" s="32" t="s">
        <v>1043</v>
      </c>
      <c r="K16" s="124" t="s">
        <v>1116</v>
      </c>
    </row>
    <row r="17" spans="1:11">
      <c r="A17" s="33" t="s">
        <v>484</v>
      </c>
      <c r="B17" s="38" t="s">
        <v>474</v>
      </c>
      <c r="C17" s="33" t="s">
        <v>37</v>
      </c>
      <c r="D17" s="33" t="s">
        <v>264</v>
      </c>
      <c r="E17" s="119" t="s">
        <v>475</v>
      </c>
      <c r="F17" s="33" t="s">
        <v>54</v>
      </c>
      <c r="G17" s="33">
        <v>285</v>
      </c>
      <c r="H17" s="123">
        <v>405.95</v>
      </c>
      <c r="I17" s="119" t="s">
        <v>1091</v>
      </c>
      <c r="J17" s="32" t="s">
        <v>1043</v>
      </c>
      <c r="K17" s="124" t="s">
        <v>1116</v>
      </c>
    </row>
    <row r="18" spans="1:11">
      <c r="A18" s="33" t="s">
        <v>485</v>
      </c>
      <c r="B18" s="38" t="s">
        <v>474</v>
      </c>
      <c r="C18" s="33" t="s">
        <v>37</v>
      </c>
      <c r="D18" s="33" t="s">
        <v>264</v>
      </c>
      <c r="E18" s="119" t="s">
        <v>475</v>
      </c>
      <c r="F18" s="33" t="s">
        <v>54</v>
      </c>
      <c r="G18" s="33">
        <v>285</v>
      </c>
      <c r="H18" s="123">
        <v>405.95</v>
      </c>
      <c r="I18" s="119" t="s">
        <v>1091</v>
      </c>
      <c r="J18" s="32" t="s">
        <v>1043</v>
      </c>
      <c r="K18" s="124" t="s">
        <v>1116</v>
      </c>
    </row>
    <row r="19" spans="1:11">
      <c r="A19" s="33" t="s">
        <v>486</v>
      </c>
      <c r="B19" s="38" t="s">
        <v>474</v>
      </c>
      <c r="C19" s="33" t="s">
        <v>37</v>
      </c>
      <c r="D19" s="33" t="s">
        <v>264</v>
      </c>
      <c r="E19" s="119" t="s">
        <v>475</v>
      </c>
      <c r="F19" s="33" t="s">
        <v>54</v>
      </c>
      <c r="G19" s="33">
        <v>285</v>
      </c>
      <c r="H19" s="123">
        <v>405.95</v>
      </c>
      <c r="I19" s="119" t="s">
        <v>1091</v>
      </c>
      <c r="J19" s="32" t="s">
        <v>1043</v>
      </c>
      <c r="K19" s="124" t="s">
        <v>1116</v>
      </c>
    </row>
    <row r="20" spans="1:11">
      <c r="A20" s="33" t="s">
        <v>487</v>
      </c>
      <c r="B20" s="38" t="s">
        <v>474</v>
      </c>
      <c r="C20" s="33" t="s">
        <v>37</v>
      </c>
      <c r="D20" s="33" t="s">
        <v>264</v>
      </c>
      <c r="E20" s="119" t="s">
        <v>475</v>
      </c>
      <c r="F20" s="33" t="s">
        <v>54</v>
      </c>
      <c r="G20" s="33">
        <v>285</v>
      </c>
      <c r="H20" s="123">
        <v>405.95</v>
      </c>
      <c r="I20" s="119" t="s">
        <v>1091</v>
      </c>
      <c r="J20" s="32" t="s">
        <v>1043</v>
      </c>
      <c r="K20" s="124" t="s">
        <v>1116</v>
      </c>
    </row>
    <row r="21" spans="1:11">
      <c r="A21" s="33" t="s">
        <v>488</v>
      </c>
      <c r="B21" s="38" t="s">
        <v>474</v>
      </c>
      <c r="C21" s="33" t="s">
        <v>37</v>
      </c>
      <c r="D21" s="33" t="s">
        <v>264</v>
      </c>
      <c r="E21" s="119" t="s">
        <v>475</v>
      </c>
      <c r="F21" s="33" t="s">
        <v>54</v>
      </c>
      <c r="G21" s="33">
        <v>285</v>
      </c>
      <c r="H21" s="123">
        <v>405.95</v>
      </c>
      <c r="I21" s="119" t="s">
        <v>1091</v>
      </c>
      <c r="J21" s="32" t="s">
        <v>1043</v>
      </c>
      <c r="K21" s="124" t="s">
        <v>1116</v>
      </c>
    </row>
    <row r="22" spans="1:11">
      <c r="A22" s="33" t="s">
        <v>489</v>
      </c>
      <c r="B22" s="38" t="s">
        <v>474</v>
      </c>
      <c r="C22" s="33" t="s">
        <v>37</v>
      </c>
      <c r="D22" s="33" t="s">
        <v>264</v>
      </c>
      <c r="E22" s="119" t="s">
        <v>475</v>
      </c>
      <c r="F22" s="33" t="s">
        <v>54</v>
      </c>
      <c r="G22" s="33">
        <v>285</v>
      </c>
      <c r="H22" s="123">
        <v>405.95</v>
      </c>
      <c r="I22" s="119" t="s">
        <v>1091</v>
      </c>
      <c r="J22" s="32" t="s">
        <v>1043</v>
      </c>
      <c r="K22" s="124" t="s">
        <v>1116</v>
      </c>
    </row>
    <row r="23" spans="1:11">
      <c r="A23" s="33" t="s">
        <v>490</v>
      </c>
      <c r="B23" s="38" t="s">
        <v>474</v>
      </c>
      <c r="C23" s="33" t="s">
        <v>37</v>
      </c>
      <c r="D23" s="33" t="s">
        <v>264</v>
      </c>
      <c r="E23" s="119" t="s">
        <v>475</v>
      </c>
      <c r="F23" s="33" t="s">
        <v>54</v>
      </c>
      <c r="G23" s="33">
        <v>285</v>
      </c>
      <c r="H23" s="123">
        <v>405.95</v>
      </c>
      <c r="I23" s="119" t="s">
        <v>1106</v>
      </c>
      <c r="J23" s="32" t="s">
        <v>1043</v>
      </c>
      <c r="K23" s="124" t="s">
        <v>1118</v>
      </c>
    </row>
    <row r="24" spans="1:11">
      <c r="A24" s="33" t="s">
        <v>491</v>
      </c>
      <c r="B24" s="38" t="s">
        <v>474</v>
      </c>
      <c r="C24" s="33" t="s">
        <v>37</v>
      </c>
      <c r="D24" s="33" t="s">
        <v>264</v>
      </c>
      <c r="E24" s="119" t="s">
        <v>475</v>
      </c>
      <c r="F24" s="33" t="s">
        <v>54</v>
      </c>
      <c r="G24" s="33">
        <v>285</v>
      </c>
      <c r="H24" s="123">
        <v>405.95</v>
      </c>
      <c r="I24" s="119" t="s">
        <v>1091</v>
      </c>
      <c r="J24" s="32" t="s">
        <v>1043</v>
      </c>
      <c r="K24" s="124" t="s">
        <v>1116</v>
      </c>
    </row>
    <row r="25" spans="1:11">
      <c r="A25" s="33" t="s">
        <v>492</v>
      </c>
      <c r="B25" s="38" t="s">
        <v>474</v>
      </c>
      <c r="C25" s="33" t="s">
        <v>37</v>
      </c>
      <c r="D25" s="33" t="s">
        <v>264</v>
      </c>
      <c r="E25" s="119" t="s">
        <v>475</v>
      </c>
      <c r="F25" s="33" t="s">
        <v>54</v>
      </c>
      <c r="G25" s="33">
        <v>285</v>
      </c>
      <c r="H25" s="123">
        <v>405.95</v>
      </c>
      <c r="I25" s="119" t="s">
        <v>1091</v>
      </c>
      <c r="J25" s="32" t="s">
        <v>1043</v>
      </c>
      <c r="K25" s="124" t="s">
        <v>1116</v>
      </c>
    </row>
    <row r="26" spans="1:11" ht="24">
      <c r="A26" s="33" t="s">
        <v>493</v>
      </c>
      <c r="B26" s="38" t="s">
        <v>474</v>
      </c>
      <c r="C26" s="33" t="s">
        <v>37</v>
      </c>
      <c r="D26" s="33" t="s">
        <v>264</v>
      </c>
      <c r="E26" s="119" t="s">
        <v>475</v>
      </c>
      <c r="F26" s="33" t="s">
        <v>184</v>
      </c>
      <c r="G26" s="33">
        <v>285</v>
      </c>
      <c r="H26" s="123">
        <v>405.95</v>
      </c>
      <c r="I26" s="119" t="s">
        <v>1079</v>
      </c>
      <c r="J26" s="119" t="s">
        <v>1087</v>
      </c>
      <c r="K26" s="33" t="s">
        <v>1117</v>
      </c>
    </row>
    <row r="27" spans="1:11">
      <c r="A27" s="33" t="s">
        <v>494</v>
      </c>
      <c r="B27" s="38" t="s">
        <v>474</v>
      </c>
      <c r="C27" s="33" t="s">
        <v>37</v>
      </c>
      <c r="D27" s="33" t="s">
        <v>264</v>
      </c>
      <c r="E27" s="119" t="s">
        <v>475</v>
      </c>
      <c r="F27" s="33" t="s">
        <v>54</v>
      </c>
      <c r="G27" s="33">
        <v>285</v>
      </c>
      <c r="H27" s="123">
        <v>405.95</v>
      </c>
      <c r="I27" s="119" t="s">
        <v>1091</v>
      </c>
      <c r="J27" s="32" t="s">
        <v>1043</v>
      </c>
      <c r="K27" s="124" t="s">
        <v>1116</v>
      </c>
    </row>
    <row r="28" spans="1:11">
      <c r="A28" s="33" t="s">
        <v>495</v>
      </c>
      <c r="B28" s="38" t="s">
        <v>474</v>
      </c>
      <c r="C28" s="33" t="s">
        <v>37</v>
      </c>
      <c r="D28" s="33" t="s">
        <v>264</v>
      </c>
      <c r="E28" s="119" t="s">
        <v>475</v>
      </c>
      <c r="F28" s="33" t="s">
        <v>54</v>
      </c>
      <c r="G28" s="33">
        <v>285</v>
      </c>
      <c r="H28" s="123">
        <v>405.95</v>
      </c>
      <c r="I28" s="119" t="s">
        <v>1091</v>
      </c>
      <c r="J28" s="32" t="s">
        <v>1043</v>
      </c>
      <c r="K28" s="124" t="s">
        <v>1116</v>
      </c>
    </row>
    <row r="29" spans="1:11">
      <c r="A29" s="33" t="s">
        <v>496</v>
      </c>
      <c r="B29" s="38" t="s">
        <v>474</v>
      </c>
      <c r="C29" s="33" t="s">
        <v>37</v>
      </c>
      <c r="D29" s="33" t="s">
        <v>264</v>
      </c>
      <c r="E29" s="119" t="s">
        <v>475</v>
      </c>
      <c r="F29" s="33" t="s">
        <v>54</v>
      </c>
      <c r="G29" s="33">
        <v>285</v>
      </c>
      <c r="H29" s="123">
        <v>405.95</v>
      </c>
      <c r="I29" s="119" t="s">
        <v>1091</v>
      </c>
      <c r="J29" s="32" t="s">
        <v>1043</v>
      </c>
      <c r="K29" s="124" t="s">
        <v>1116</v>
      </c>
    </row>
    <row r="30" spans="1:11">
      <c r="A30" s="33" t="s">
        <v>497</v>
      </c>
      <c r="B30" s="38" t="s">
        <v>474</v>
      </c>
      <c r="C30" s="33" t="s">
        <v>37</v>
      </c>
      <c r="D30" s="33" t="s">
        <v>264</v>
      </c>
      <c r="E30" s="119" t="s">
        <v>475</v>
      </c>
      <c r="F30" s="33" t="s">
        <v>54</v>
      </c>
      <c r="G30" s="33">
        <v>285</v>
      </c>
      <c r="H30" s="123">
        <v>405.95</v>
      </c>
      <c r="I30" s="119" t="s">
        <v>1106</v>
      </c>
      <c r="J30" s="32" t="s">
        <v>1043</v>
      </c>
      <c r="K30" s="124" t="s">
        <v>1118</v>
      </c>
    </row>
    <row r="31" spans="1:11">
      <c r="A31" s="33" t="s">
        <v>498</v>
      </c>
      <c r="B31" s="38" t="s">
        <v>474</v>
      </c>
      <c r="C31" s="33" t="s">
        <v>37</v>
      </c>
      <c r="D31" s="33" t="s">
        <v>264</v>
      </c>
      <c r="E31" s="119" t="s">
        <v>475</v>
      </c>
      <c r="F31" s="33" t="s">
        <v>184</v>
      </c>
      <c r="G31" s="33">
        <v>285</v>
      </c>
      <c r="H31" s="123">
        <v>405.95</v>
      </c>
      <c r="I31" s="119" t="s">
        <v>1106</v>
      </c>
      <c r="J31" s="32" t="s">
        <v>1043</v>
      </c>
      <c r="K31" s="124" t="s">
        <v>1118</v>
      </c>
    </row>
    <row r="32" spans="1:11">
      <c r="A32" s="33" t="s">
        <v>499</v>
      </c>
      <c r="B32" s="38" t="s">
        <v>474</v>
      </c>
      <c r="C32" s="33" t="s">
        <v>37</v>
      </c>
      <c r="D32" s="33" t="s">
        <v>264</v>
      </c>
      <c r="E32" s="119" t="s">
        <v>475</v>
      </c>
      <c r="F32" s="33" t="s">
        <v>184</v>
      </c>
      <c r="G32" s="33">
        <v>285</v>
      </c>
      <c r="H32" s="123">
        <v>405.95</v>
      </c>
      <c r="I32" s="119" t="s">
        <v>1106</v>
      </c>
      <c r="J32" s="32" t="s">
        <v>1043</v>
      </c>
      <c r="K32" s="124" t="s">
        <v>1118</v>
      </c>
    </row>
    <row r="33" spans="1:11">
      <c r="A33" s="33" t="s">
        <v>500</v>
      </c>
      <c r="B33" s="38" t="s">
        <v>474</v>
      </c>
      <c r="C33" s="33" t="s">
        <v>37</v>
      </c>
      <c r="D33" s="33" t="s">
        <v>264</v>
      </c>
      <c r="E33" s="119" t="s">
        <v>475</v>
      </c>
      <c r="F33" s="33" t="s">
        <v>54</v>
      </c>
      <c r="G33" s="33">
        <v>285</v>
      </c>
      <c r="H33" s="123">
        <v>405.95</v>
      </c>
      <c r="I33" s="119" t="s">
        <v>1106</v>
      </c>
      <c r="J33" s="32" t="s">
        <v>1043</v>
      </c>
      <c r="K33" s="124" t="s">
        <v>1118</v>
      </c>
    </row>
    <row r="34" spans="1:11" ht="24">
      <c r="A34" s="33" t="s">
        <v>548</v>
      </c>
      <c r="B34" s="38" t="s">
        <v>549</v>
      </c>
      <c r="C34" s="33" t="s">
        <v>37</v>
      </c>
      <c r="D34" s="33" t="s">
        <v>550</v>
      </c>
      <c r="E34" s="33" t="s">
        <v>43</v>
      </c>
      <c r="F34" s="33" t="s">
        <v>184</v>
      </c>
      <c r="G34" s="33">
        <v>285</v>
      </c>
      <c r="H34" s="124">
        <v>856.75</v>
      </c>
      <c r="I34" s="33" t="s">
        <v>476</v>
      </c>
      <c r="J34" s="119" t="s">
        <v>1070</v>
      </c>
      <c r="K34" s="33" t="s">
        <v>1117</v>
      </c>
    </row>
    <row r="35" spans="1:11">
      <c r="A35" s="33" t="s">
        <v>551</v>
      </c>
      <c r="B35" s="38" t="s">
        <v>549</v>
      </c>
      <c r="C35" s="33" t="s">
        <v>37</v>
      </c>
      <c r="D35" s="33" t="s">
        <v>550</v>
      </c>
      <c r="E35" s="33" t="s">
        <v>43</v>
      </c>
      <c r="F35" s="33" t="s">
        <v>184</v>
      </c>
      <c r="G35" s="33">
        <v>285</v>
      </c>
      <c r="H35" s="124">
        <v>856.75</v>
      </c>
      <c r="I35" s="33" t="s">
        <v>476</v>
      </c>
      <c r="J35" s="32" t="s">
        <v>1073</v>
      </c>
      <c r="K35" s="33" t="s">
        <v>1117</v>
      </c>
    </row>
    <row r="36" spans="1:11">
      <c r="A36" s="33" t="s">
        <v>552</v>
      </c>
      <c r="B36" s="38" t="s">
        <v>549</v>
      </c>
      <c r="C36" s="33" t="s">
        <v>37</v>
      </c>
      <c r="D36" s="33" t="s">
        <v>550</v>
      </c>
      <c r="E36" s="33" t="s">
        <v>43</v>
      </c>
      <c r="F36" s="33" t="s">
        <v>184</v>
      </c>
      <c r="G36" s="33">
        <v>285</v>
      </c>
      <c r="H36" s="124">
        <v>856.75</v>
      </c>
      <c r="I36" s="33" t="s">
        <v>476</v>
      </c>
      <c r="J36" s="32" t="s">
        <v>1073</v>
      </c>
      <c r="K36" s="33" t="s">
        <v>1117</v>
      </c>
    </row>
    <row r="37" spans="1:11" ht="27.75" customHeight="1">
      <c r="A37" s="33" t="s">
        <v>504</v>
      </c>
      <c r="B37" s="38" t="s">
        <v>267</v>
      </c>
      <c r="C37" s="33" t="s">
        <v>37</v>
      </c>
      <c r="D37" s="33" t="s">
        <v>268</v>
      </c>
      <c r="E37" s="33" t="s">
        <v>43</v>
      </c>
      <c r="F37" s="33" t="s">
        <v>33</v>
      </c>
      <c r="G37" s="33">
        <v>285</v>
      </c>
      <c r="H37" s="124">
        <f>2153*1.15</f>
        <v>2475.9499999999998</v>
      </c>
      <c r="I37" s="119" t="s">
        <v>476</v>
      </c>
      <c r="J37" s="32" t="s">
        <v>1043</v>
      </c>
      <c r="K37" s="33" t="s">
        <v>1117</v>
      </c>
    </row>
    <row r="38" spans="1:11">
      <c r="A38" s="33" t="s">
        <v>505</v>
      </c>
      <c r="B38" s="38" t="s">
        <v>506</v>
      </c>
      <c r="C38" s="33" t="s">
        <v>37</v>
      </c>
      <c r="D38" s="33" t="s">
        <v>507</v>
      </c>
      <c r="E38" s="33" t="s">
        <v>508</v>
      </c>
      <c r="F38" s="33" t="s">
        <v>184</v>
      </c>
      <c r="G38" s="33">
        <v>285</v>
      </c>
      <c r="H38" s="124">
        <v>302.45</v>
      </c>
      <c r="I38" s="119" t="s">
        <v>1051</v>
      </c>
      <c r="J38" s="32" t="s">
        <v>1043</v>
      </c>
      <c r="K38" s="33" t="s">
        <v>1117</v>
      </c>
    </row>
    <row r="39" spans="1:11" ht="20.25" customHeight="1">
      <c r="A39" s="33" t="s">
        <v>509</v>
      </c>
      <c r="B39" s="38" t="s">
        <v>506</v>
      </c>
      <c r="C39" s="33" t="s">
        <v>37</v>
      </c>
      <c r="D39" s="33" t="s">
        <v>507</v>
      </c>
      <c r="E39" s="33" t="s">
        <v>508</v>
      </c>
      <c r="F39" s="33" t="s">
        <v>184</v>
      </c>
      <c r="G39" s="33">
        <v>285</v>
      </c>
      <c r="H39" s="124">
        <v>302.45</v>
      </c>
      <c r="I39" s="119" t="s">
        <v>502</v>
      </c>
      <c r="J39" s="32" t="s">
        <v>1043</v>
      </c>
      <c r="K39" s="33" t="s">
        <v>1117</v>
      </c>
    </row>
    <row r="40" spans="1:11" ht="24">
      <c r="A40" s="33" t="s">
        <v>510</v>
      </c>
      <c r="B40" s="38" t="s">
        <v>506</v>
      </c>
      <c r="C40" s="33" t="s">
        <v>37</v>
      </c>
      <c r="D40" s="33" t="s">
        <v>507</v>
      </c>
      <c r="E40" s="33" t="s">
        <v>508</v>
      </c>
      <c r="F40" s="33" t="s">
        <v>184</v>
      </c>
      <c r="G40" s="33">
        <v>285</v>
      </c>
      <c r="H40" s="124">
        <v>302.45</v>
      </c>
      <c r="I40" s="119" t="s">
        <v>1049</v>
      </c>
      <c r="J40" s="32" t="s">
        <v>1043</v>
      </c>
      <c r="K40" s="33" t="s">
        <v>1117</v>
      </c>
    </row>
    <row r="41" spans="1:11" ht="15.75" customHeight="1">
      <c r="A41" s="33" t="s">
        <v>511</v>
      </c>
      <c r="B41" s="38" t="s">
        <v>506</v>
      </c>
      <c r="C41" s="33" t="s">
        <v>37</v>
      </c>
      <c r="D41" s="33" t="s">
        <v>507</v>
      </c>
      <c r="E41" s="33" t="s">
        <v>508</v>
      </c>
      <c r="F41" s="33" t="s">
        <v>184</v>
      </c>
      <c r="G41" s="33">
        <v>285</v>
      </c>
      <c r="H41" s="124">
        <v>302.45</v>
      </c>
      <c r="I41" s="119" t="s">
        <v>1091</v>
      </c>
      <c r="J41" s="32" t="s">
        <v>1043</v>
      </c>
      <c r="K41" s="124" t="s">
        <v>1116</v>
      </c>
    </row>
    <row r="42" spans="1:11" ht="16.5" customHeight="1">
      <c r="A42" s="33" t="s">
        <v>520</v>
      </c>
      <c r="B42" s="38" t="s">
        <v>506</v>
      </c>
      <c r="C42" s="33" t="s">
        <v>37</v>
      </c>
      <c r="D42" s="33" t="s">
        <v>507</v>
      </c>
      <c r="E42" s="33" t="s">
        <v>508</v>
      </c>
      <c r="F42" s="33" t="s">
        <v>184</v>
      </c>
      <c r="G42" s="33">
        <v>285</v>
      </c>
      <c r="H42" s="124">
        <v>302.45</v>
      </c>
      <c r="I42" s="119" t="s">
        <v>1091</v>
      </c>
      <c r="J42" s="32" t="s">
        <v>1043</v>
      </c>
      <c r="K42" s="124" t="s">
        <v>1116</v>
      </c>
    </row>
    <row r="43" spans="1:11" ht="13.5" customHeight="1">
      <c r="A43" s="33" t="s">
        <v>521</v>
      </c>
      <c r="B43" s="38" t="s">
        <v>506</v>
      </c>
      <c r="C43" s="33" t="s">
        <v>37</v>
      </c>
      <c r="D43" s="33" t="s">
        <v>507</v>
      </c>
      <c r="E43" s="33" t="s">
        <v>508</v>
      </c>
      <c r="F43" s="33" t="s">
        <v>184</v>
      </c>
      <c r="G43" s="33">
        <v>285</v>
      </c>
      <c r="H43" s="124">
        <v>302.45</v>
      </c>
      <c r="I43" s="119" t="s">
        <v>1063</v>
      </c>
      <c r="J43" s="32" t="s">
        <v>1043</v>
      </c>
      <c r="K43" s="33" t="s">
        <v>1117</v>
      </c>
    </row>
    <row r="44" spans="1:11" ht="16.5" customHeight="1">
      <c r="A44" s="33" t="s">
        <v>522</v>
      </c>
      <c r="B44" s="38" t="s">
        <v>506</v>
      </c>
      <c r="C44" s="33" t="s">
        <v>37</v>
      </c>
      <c r="D44" s="33" t="s">
        <v>507</v>
      </c>
      <c r="E44" s="33" t="s">
        <v>508</v>
      </c>
      <c r="F44" s="33" t="s">
        <v>184</v>
      </c>
      <c r="G44" s="33">
        <v>285</v>
      </c>
      <c r="H44" s="124">
        <v>302.45</v>
      </c>
      <c r="I44" s="119" t="s">
        <v>1091</v>
      </c>
      <c r="J44" s="32" t="s">
        <v>1043</v>
      </c>
      <c r="K44" s="124" t="s">
        <v>1116</v>
      </c>
    </row>
    <row r="45" spans="1:11">
      <c r="A45" s="33" t="s">
        <v>524</v>
      </c>
      <c r="B45" s="38" t="s">
        <v>506</v>
      </c>
      <c r="C45" s="33" t="s">
        <v>37</v>
      </c>
      <c r="D45" s="33" t="s">
        <v>507</v>
      </c>
      <c r="E45" s="33" t="s">
        <v>508</v>
      </c>
      <c r="F45" s="33" t="s">
        <v>184</v>
      </c>
      <c r="G45" s="33">
        <v>285</v>
      </c>
      <c r="H45" s="124">
        <v>302.45</v>
      </c>
      <c r="I45" s="119" t="s">
        <v>1060</v>
      </c>
      <c r="J45" s="32" t="s">
        <v>1043</v>
      </c>
      <c r="K45" s="33" t="s">
        <v>1117</v>
      </c>
    </row>
    <row r="46" spans="1:11">
      <c r="A46" s="33" t="s">
        <v>525</v>
      </c>
      <c r="B46" s="38" t="s">
        <v>506</v>
      </c>
      <c r="C46" s="33" t="s">
        <v>37</v>
      </c>
      <c r="D46" s="33" t="s">
        <v>507</v>
      </c>
      <c r="E46" s="33" t="s">
        <v>508</v>
      </c>
      <c r="F46" s="33" t="s">
        <v>184</v>
      </c>
      <c r="G46" s="33">
        <v>285</v>
      </c>
      <c r="H46" s="124">
        <v>302.45</v>
      </c>
      <c r="I46" s="119" t="s">
        <v>1055</v>
      </c>
      <c r="J46" s="32" t="s">
        <v>1043</v>
      </c>
      <c r="K46" s="33" t="s">
        <v>1117</v>
      </c>
    </row>
    <row r="47" spans="1:11">
      <c r="A47" s="33" t="s">
        <v>523</v>
      </c>
      <c r="B47" s="38" t="s">
        <v>506</v>
      </c>
      <c r="C47" s="33" t="s">
        <v>37</v>
      </c>
      <c r="D47" s="33" t="s">
        <v>507</v>
      </c>
      <c r="E47" s="33" t="s">
        <v>508</v>
      </c>
      <c r="F47" s="33" t="s">
        <v>184</v>
      </c>
      <c r="G47" s="33">
        <v>285</v>
      </c>
      <c r="H47" s="124">
        <v>302.45</v>
      </c>
      <c r="I47" s="119" t="s">
        <v>1068</v>
      </c>
      <c r="J47" s="32" t="s">
        <v>1043</v>
      </c>
      <c r="K47" s="33" t="s">
        <v>1117</v>
      </c>
    </row>
    <row r="48" spans="1:11">
      <c r="A48" s="33" t="s">
        <v>526</v>
      </c>
      <c r="B48" s="38" t="s">
        <v>506</v>
      </c>
      <c r="C48" s="33" t="s">
        <v>37</v>
      </c>
      <c r="D48" s="33" t="s">
        <v>507</v>
      </c>
      <c r="E48" s="33" t="s">
        <v>508</v>
      </c>
      <c r="F48" s="33" t="s">
        <v>184</v>
      </c>
      <c r="G48" s="33">
        <v>285</v>
      </c>
      <c r="H48" s="124">
        <v>302.45</v>
      </c>
      <c r="I48" s="119" t="s">
        <v>1055</v>
      </c>
      <c r="J48" s="32" t="s">
        <v>1043</v>
      </c>
      <c r="K48" s="33" t="s">
        <v>1117</v>
      </c>
    </row>
    <row r="49" spans="1:11">
      <c r="A49" s="33" t="s">
        <v>527</v>
      </c>
      <c r="B49" s="38" t="s">
        <v>506</v>
      </c>
      <c r="C49" s="33" t="s">
        <v>37</v>
      </c>
      <c r="D49" s="33" t="s">
        <v>507</v>
      </c>
      <c r="E49" s="33" t="s">
        <v>508</v>
      </c>
      <c r="F49" s="33" t="s">
        <v>184</v>
      </c>
      <c r="G49" s="33">
        <v>285</v>
      </c>
      <c r="H49" s="124">
        <v>302.45</v>
      </c>
      <c r="I49" s="119" t="s">
        <v>480</v>
      </c>
      <c r="J49" s="32" t="s">
        <v>1043</v>
      </c>
      <c r="K49" s="33" t="s">
        <v>1117</v>
      </c>
    </row>
    <row r="50" spans="1:11" ht="24">
      <c r="A50" s="33" t="s">
        <v>529</v>
      </c>
      <c r="B50" s="38" t="s">
        <v>269</v>
      </c>
      <c r="C50" s="33" t="s">
        <v>37</v>
      </c>
      <c r="D50" s="33" t="s">
        <v>530</v>
      </c>
      <c r="E50" s="33" t="s">
        <v>43</v>
      </c>
      <c r="F50" s="33" t="s">
        <v>184</v>
      </c>
      <c r="G50" s="33">
        <v>285</v>
      </c>
      <c r="H50" s="123">
        <f>1091*1.15</f>
        <v>1254.6499999999999</v>
      </c>
      <c r="I50" s="119" t="s">
        <v>1054</v>
      </c>
      <c r="J50" s="32" t="s">
        <v>1043</v>
      </c>
      <c r="K50" s="33" t="s">
        <v>1117</v>
      </c>
    </row>
    <row r="51" spans="1:11" s="122" customFormat="1" ht="10.5" customHeight="1">
      <c r="A51" s="184" t="s">
        <v>17</v>
      </c>
      <c r="B51" s="184" t="s">
        <v>19</v>
      </c>
      <c r="C51" s="184" t="s">
        <v>20</v>
      </c>
      <c r="D51" s="184" t="s">
        <v>21</v>
      </c>
      <c r="E51" s="184" t="s">
        <v>22</v>
      </c>
      <c r="F51" s="184" t="s">
        <v>23</v>
      </c>
      <c r="G51" s="184" t="s">
        <v>24</v>
      </c>
      <c r="H51" s="186" t="s">
        <v>25</v>
      </c>
      <c r="I51" s="186" t="s">
        <v>18</v>
      </c>
      <c r="J51" s="188" t="s">
        <v>470</v>
      </c>
      <c r="K51" s="188" t="s">
        <v>1115</v>
      </c>
    </row>
    <row r="52" spans="1:11" s="122" customFormat="1">
      <c r="A52" s="185"/>
      <c r="B52" s="185"/>
      <c r="C52" s="185"/>
      <c r="D52" s="185"/>
      <c r="E52" s="185"/>
      <c r="F52" s="185"/>
      <c r="G52" s="185"/>
      <c r="H52" s="187"/>
      <c r="I52" s="187"/>
      <c r="J52" s="189"/>
      <c r="K52" s="189"/>
    </row>
    <row r="53" spans="1:11" ht="24">
      <c r="A53" s="33" t="s">
        <v>533</v>
      </c>
      <c r="B53" s="38" t="s">
        <v>506</v>
      </c>
      <c r="C53" s="33" t="s">
        <v>37</v>
      </c>
      <c r="D53" s="33" t="s">
        <v>507</v>
      </c>
      <c r="E53" s="33" t="s">
        <v>508</v>
      </c>
      <c r="F53" s="33" t="s">
        <v>184</v>
      </c>
      <c r="G53" s="33">
        <v>285</v>
      </c>
      <c r="H53" s="124">
        <v>302.45</v>
      </c>
      <c r="I53" s="119" t="s">
        <v>1049</v>
      </c>
      <c r="J53" s="32" t="s">
        <v>1043</v>
      </c>
      <c r="K53" s="33" t="s">
        <v>1117</v>
      </c>
    </row>
    <row r="54" spans="1:11" ht="13.5" customHeight="1">
      <c r="A54" s="33" t="s">
        <v>534</v>
      </c>
      <c r="B54" s="38" t="s">
        <v>506</v>
      </c>
      <c r="C54" s="33" t="s">
        <v>37</v>
      </c>
      <c r="D54" s="33" t="s">
        <v>507</v>
      </c>
      <c r="E54" s="33" t="s">
        <v>508</v>
      </c>
      <c r="F54" s="33" t="s">
        <v>54</v>
      </c>
      <c r="G54" s="33">
        <v>285</v>
      </c>
      <c r="H54" s="124">
        <v>302.45</v>
      </c>
      <c r="I54" s="119" t="s">
        <v>1050</v>
      </c>
      <c r="J54" s="32" t="s">
        <v>1043</v>
      </c>
      <c r="K54" s="33" t="s">
        <v>1117</v>
      </c>
    </row>
    <row r="55" spans="1:11">
      <c r="A55" s="33" t="s">
        <v>512</v>
      </c>
      <c r="B55" s="38" t="s">
        <v>506</v>
      </c>
      <c r="C55" s="33" t="s">
        <v>37</v>
      </c>
      <c r="D55" s="33" t="s">
        <v>507</v>
      </c>
      <c r="E55" s="33" t="s">
        <v>508</v>
      </c>
      <c r="F55" s="33" t="s">
        <v>184</v>
      </c>
      <c r="G55" s="33">
        <v>285</v>
      </c>
      <c r="H55" s="124">
        <v>302.45</v>
      </c>
      <c r="I55" s="119" t="s">
        <v>1091</v>
      </c>
      <c r="J55" s="32" t="s">
        <v>1043</v>
      </c>
      <c r="K55" s="124" t="s">
        <v>1116</v>
      </c>
    </row>
    <row r="56" spans="1:11">
      <c r="A56" s="33" t="s">
        <v>513</v>
      </c>
      <c r="B56" s="38" t="s">
        <v>506</v>
      </c>
      <c r="C56" s="33" t="s">
        <v>37</v>
      </c>
      <c r="D56" s="33" t="s">
        <v>507</v>
      </c>
      <c r="E56" s="33" t="s">
        <v>508</v>
      </c>
      <c r="F56" s="33" t="s">
        <v>54</v>
      </c>
      <c r="G56" s="33">
        <v>285</v>
      </c>
      <c r="H56" s="124">
        <v>302.45</v>
      </c>
      <c r="I56" s="119" t="s">
        <v>1106</v>
      </c>
      <c r="J56" s="32" t="s">
        <v>1043</v>
      </c>
      <c r="K56" s="124" t="s">
        <v>1118</v>
      </c>
    </row>
    <row r="57" spans="1:11" ht="24">
      <c r="A57" s="33" t="s">
        <v>514</v>
      </c>
      <c r="B57" s="38" t="s">
        <v>506</v>
      </c>
      <c r="C57" s="33" t="s">
        <v>37</v>
      </c>
      <c r="D57" s="33" t="s">
        <v>507</v>
      </c>
      <c r="E57" s="33" t="s">
        <v>508</v>
      </c>
      <c r="F57" s="33" t="s">
        <v>184</v>
      </c>
      <c r="G57" s="33">
        <v>285</v>
      </c>
      <c r="H57" s="124">
        <v>302.45</v>
      </c>
      <c r="I57" s="119" t="s">
        <v>1086</v>
      </c>
      <c r="J57" s="119" t="s">
        <v>1085</v>
      </c>
      <c r="K57" s="33" t="s">
        <v>1117</v>
      </c>
    </row>
    <row r="58" spans="1:11" ht="24">
      <c r="A58" s="33" t="s">
        <v>515</v>
      </c>
      <c r="B58" s="38" t="s">
        <v>506</v>
      </c>
      <c r="C58" s="33" t="s">
        <v>37</v>
      </c>
      <c r="D58" s="33" t="s">
        <v>507</v>
      </c>
      <c r="E58" s="33" t="s">
        <v>508</v>
      </c>
      <c r="F58" s="33" t="s">
        <v>184</v>
      </c>
      <c r="G58" s="33">
        <v>285</v>
      </c>
      <c r="H58" s="124">
        <v>302.45</v>
      </c>
      <c r="I58" s="119" t="s">
        <v>1086</v>
      </c>
      <c r="J58" s="119" t="s">
        <v>1085</v>
      </c>
      <c r="K58" s="33" t="s">
        <v>1117</v>
      </c>
    </row>
    <row r="59" spans="1:11" ht="24">
      <c r="A59" s="33" t="s">
        <v>517</v>
      </c>
      <c r="B59" s="38" t="s">
        <v>506</v>
      </c>
      <c r="C59" s="33" t="s">
        <v>37</v>
      </c>
      <c r="D59" s="33" t="s">
        <v>507</v>
      </c>
      <c r="E59" s="33" t="s">
        <v>508</v>
      </c>
      <c r="F59" s="33" t="s">
        <v>184</v>
      </c>
      <c r="G59" s="33">
        <v>285</v>
      </c>
      <c r="H59" s="124">
        <v>302.45</v>
      </c>
      <c r="I59" s="119" t="s">
        <v>1086</v>
      </c>
      <c r="J59" s="119" t="s">
        <v>1085</v>
      </c>
      <c r="K59" s="33" t="s">
        <v>1117</v>
      </c>
    </row>
    <row r="60" spans="1:11" ht="18.75" customHeight="1">
      <c r="A60" s="33" t="s">
        <v>518</v>
      </c>
      <c r="B60" s="38" t="s">
        <v>506</v>
      </c>
      <c r="C60" s="33" t="s">
        <v>37</v>
      </c>
      <c r="D60" s="33" t="s">
        <v>507</v>
      </c>
      <c r="E60" s="33" t="s">
        <v>508</v>
      </c>
      <c r="F60" s="33" t="s">
        <v>184</v>
      </c>
      <c r="G60" s="33">
        <v>285</v>
      </c>
      <c r="H60" s="124">
        <v>302.45</v>
      </c>
      <c r="I60" s="119" t="s">
        <v>61</v>
      </c>
      <c r="J60" s="32" t="s">
        <v>1043</v>
      </c>
      <c r="K60" s="33" t="s">
        <v>1117</v>
      </c>
    </row>
    <row r="61" spans="1:11" ht="24">
      <c r="A61" s="33" t="s">
        <v>519</v>
      </c>
      <c r="B61" s="38" t="s">
        <v>506</v>
      </c>
      <c r="C61" s="33" t="s">
        <v>37</v>
      </c>
      <c r="D61" s="33" t="s">
        <v>507</v>
      </c>
      <c r="E61" s="33" t="s">
        <v>508</v>
      </c>
      <c r="F61" s="33" t="s">
        <v>184</v>
      </c>
      <c r="G61" s="33">
        <v>285</v>
      </c>
      <c r="H61" s="124">
        <v>302.45</v>
      </c>
      <c r="I61" s="119" t="s">
        <v>1086</v>
      </c>
      <c r="J61" s="119" t="s">
        <v>1085</v>
      </c>
      <c r="K61" s="33" t="s">
        <v>1117</v>
      </c>
    </row>
    <row r="62" spans="1:11">
      <c r="A62" s="33" t="s">
        <v>535</v>
      </c>
      <c r="B62" s="38" t="s">
        <v>506</v>
      </c>
      <c r="C62" s="33" t="s">
        <v>37</v>
      </c>
      <c r="D62" s="33" t="s">
        <v>507</v>
      </c>
      <c r="E62" s="33" t="s">
        <v>508</v>
      </c>
      <c r="F62" s="33" t="s">
        <v>184</v>
      </c>
      <c r="G62" s="33">
        <v>285</v>
      </c>
      <c r="H62" s="124">
        <v>302.45</v>
      </c>
      <c r="I62" s="119" t="s">
        <v>1106</v>
      </c>
      <c r="J62" s="32" t="s">
        <v>1043</v>
      </c>
      <c r="K62" s="124" t="s">
        <v>1118</v>
      </c>
    </row>
    <row r="63" spans="1:11">
      <c r="A63" s="33" t="s">
        <v>536</v>
      </c>
      <c r="B63" s="38" t="s">
        <v>506</v>
      </c>
      <c r="C63" s="33" t="s">
        <v>37</v>
      </c>
      <c r="D63" s="33" t="s">
        <v>507</v>
      </c>
      <c r="E63" s="33" t="s">
        <v>508</v>
      </c>
      <c r="F63" s="33" t="s">
        <v>54</v>
      </c>
      <c r="G63" s="33">
        <v>285</v>
      </c>
      <c r="H63" s="124">
        <v>302.45</v>
      </c>
      <c r="I63" s="119" t="s">
        <v>1106</v>
      </c>
      <c r="J63" s="32" t="s">
        <v>1043</v>
      </c>
      <c r="K63" s="124" t="s">
        <v>1118</v>
      </c>
    </row>
    <row r="64" spans="1:11">
      <c r="A64" s="33" t="s">
        <v>537</v>
      </c>
      <c r="B64" s="38" t="s">
        <v>506</v>
      </c>
      <c r="C64" s="33" t="s">
        <v>37</v>
      </c>
      <c r="D64" s="33" t="s">
        <v>507</v>
      </c>
      <c r="E64" s="33" t="s">
        <v>508</v>
      </c>
      <c r="F64" s="33" t="s">
        <v>184</v>
      </c>
      <c r="G64" s="33">
        <v>285</v>
      </c>
      <c r="H64" s="124">
        <v>302.45</v>
      </c>
      <c r="I64" s="119" t="s">
        <v>1106</v>
      </c>
      <c r="J64" s="32" t="s">
        <v>1043</v>
      </c>
      <c r="K64" s="124" t="s">
        <v>1118</v>
      </c>
    </row>
    <row r="65" spans="1:11">
      <c r="A65" s="33" t="s">
        <v>547</v>
      </c>
      <c r="B65" s="38" t="s">
        <v>270</v>
      </c>
      <c r="C65" s="33" t="s">
        <v>77</v>
      </c>
      <c r="D65" s="33" t="s">
        <v>271</v>
      </c>
      <c r="E65" s="33" t="s">
        <v>43</v>
      </c>
      <c r="F65" s="33" t="s">
        <v>54</v>
      </c>
      <c r="G65" s="33">
        <v>285</v>
      </c>
      <c r="H65" s="123">
        <f>838*1.15</f>
        <v>963.69999999999993</v>
      </c>
      <c r="I65" s="119" t="s">
        <v>1091</v>
      </c>
      <c r="J65" s="32" t="s">
        <v>1043</v>
      </c>
      <c r="K65" s="124" t="s">
        <v>1116</v>
      </c>
    </row>
    <row r="66" spans="1:11" ht="24">
      <c r="A66" s="33" t="s">
        <v>528</v>
      </c>
      <c r="B66" s="38" t="s">
        <v>272</v>
      </c>
      <c r="C66" s="33" t="s">
        <v>77</v>
      </c>
      <c r="D66" s="33" t="s">
        <v>273</v>
      </c>
      <c r="E66" s="33" t="s">
        <v>43</v>
      </c>
      <c r="F66" s="33" t="s">
        <v>33</v>
      </c>
      <c r="G66" s="33">
        <v>285</v>
      </c>
      <c r="H66" s="40">
        <f>1226*1.15</f>
        <v>1409.8999999999999</v>
      </c>
      <c r="I66" s="119" t="s">
        <v>476</v>
      </c>
      <c r="J66" s="32" t="s">
        <v>1043</v>
      </c>
      <c r="K66" s="33" t="s">
        <v>1117</v>
      </c>
    </row>
    <row r="67" spans="1:11" ht="27" customHeight="1">
      <c r="A67" s="33" t="s">
        <v>531</v>
      </c>
      <c r="B67" s="38" t="s">
        <v>274</v>
      </c>
      <c r="C67" s="33" t="s">
        <v>77</v>
      </c>
      <c r="D67" s="33" t="s">
        <v>532</v>
      </c>
      <c r="E67" s="33" t="s">
        <v>43</v>
      </c>
      <c r="F67" s="124" t="s">
        <v>184</v>
      </c>
      <c r="G67" s="33">
        <v>285</v>
      </c>
      <c r="H67" s="123">
        <f>1091*1.15</f>
        <v>1254.6499999999999</v>
      </c>
      <c r="I67" s="119" t="s">
        <v>480</v>
      </c>
      <c r="J67" s="32" t="s">
        <v>1043</v>
      </c>
      <c r="K67" s="33" t="s">
        <v>1117</v>
      </c>
    </row>
    <row r="68" spans="1:11" ht="24">
      <c r="A68" s="33" t="s">
        <v>539</v>
      </c>
      <c r="B68" s="38" t="s">
        <v>542</v>
      </c>
      <c r="C68" s="33" t="s">
        <v>37</v>
      </c>
      <c r="D68" s="33"/>
      <c r="E68" s="33" t="s">
        <v>34</v>
      </c>
      <c r="F68" s="33" t="s">
        <v>54</v>
      </c>
      <c r="G68" s="33">
        <v>285</v>
      </c>
      <c r="H68" s="123">
        <v>1091.3499999999999</v>
      </c>
      <c r="I68" s="119" t="s">
        <v>546</v>
      </c>
      <c r="J68" s="32" t="s">
        <v>1043</v>
      </c>
      <c r="K68" s="33" t="s">
        <v>1117</v>
      </c>
    </row>
    <row r="69" spans="1:11" ht="24">
      <c r="A69" s="33" t="s">
        <v>540</v>
      </c>
      <c r="B69" s="38" t="s">
        <v>542</v>
      </c>
      <c r="C69" s="33" t="s">
        <v>37</v>
      </c>
      <c r="D69" s="33"/>
      <c r="E69" s="33" t="s">
        <v>34</v>
      </c>
      <c r="F69" s="33" t="s">
        <v>54</v>
      </c>
      <c r="G69" s="33">
        <v>285</v>
      </c>
      <c r="H69" s="123">
        <v>1091.3499999999999</v>
      </c>
      <c r="I69" s="119" t="s">
        <v>546</v>
      </c>
      <c r="J69" s="32" t="s">
        <v>1043</v>
      </c>
      <c r="K69" s="33" t="s">
        <v>1117</v>
      </c>
    </row>
    <row r="70" spans="1:11" ht="24">
      <c r="A70" s="33" t="s">
        <v>541</v>
      </c>
      <c r="B70" s="38" t="s">
        <v>542</v>
      </c>
      <c r="C70" s="33" t="s">
        <v>37</v>
      </c>
      <c r="D70" s="33"/>
      <c r="E70" s="33" t="s">
        <v>34</v>
      </c>
      <c r="F70" s="33" t="s">
        <v>54</v>
      </c>
      <c r="G70" s="33">
        <v>285</v>
      </c>
      <c r="H70" s="123">
        <v>1091.3499999999999</v>
      </c>
      <c r="I70" s="119" t="s">
        <v>546</v>
      </c>
      <c r="J70" s="32" t="s">
        <v>1043</v>
      </c>
      <c r="K70" s="33" t="s">
        <v>1117</v>
      </c>
    </row>
    <row r="71" spans="1:11">
      <c r="A71" s="33" t="s">
        <v>544</v>
      </c>
      <c r="B71" s="38" t="s">
        <v>542</v>
      </c>
      <c r="C71" s="33" t="s">
        <v>37</v>
      </c>
      <c r="D71" s="33"/>
      <c r="E71" s="33" t="s">
        <v>34</v>
      </c>
      <c r="F71" s="33" t="s">
        <v>54</v>
      </c>
      <c r="G71" s="33">
        <v>285</v>
      </c>
      <c r="H71" s="123">
        <v>1091.3499999999999</v>
      </c>
      <c r="I71" s="119" t="s">
        <v>61</v>
      </c>
      <c r="J71" s="32" t="s">
        <v>1043</v>
      </c>
      <c r="K71" s="33" t="s">
        <v>1117</v>
      </c>
    </row>
    <row r="72" spans="1:11" ht="24">
      <c r="A72" s="33" t="s">
        <v>545</v>
      </c>
      <c r="B72" s="38" t="s">
        <v>542</v>
      </c>
      <c r="C72" s="33" t="s">
        <v>37</v>
      </c>
      <c r="D72" s="33"/>
      <c r="E72" s="33" t="s">
        <v>34</v>
      </c>
      <c r="F72" s="33" t="s">
        <v>54</v>
      </c>
      <c r="G72" s="33">
        <v>285</v>
      </c>
      <c r="H72" s="123">
        <v>1091.3499999999999</v>
      </c>
      <c r="I72" s="119" t="s">
        <v>546</v>
      </c>
      <c r="J72" s="32" t="s">
        <v>1043</v>
      </c>
      <c r="K72" s="33" t="s">
        <v>1117</v>
      </c>
    </row>
    <row r="73" spans="1:11" ht="24">
      <c r="A73" s="33" t="s">
        <v>543</v>
      </c>
      <c r="B73" s="38" t="s">
        <v>542</v>
      </c>
      <c r="C73" s="33" t="s">
        <v>37</v>
      </c>
      <c r="D73" s="33"/>
      <c r="E73" s="33" t="s">
        <v>34</v>
      </c>
      <c r="F73" s="33" t="s">
        <v>54</v>
      </c>
      <c r="G73" s="33">
        <v>285</v>
      </c>
      <c r="H73" s="123">
        <v>1091.3499999999999</v>
      </c>
      <c r="I73" s="119" t="s">
        <v>546</v>
      </c>
      <c r="J73" s="32" t="s">
        <v>1043</v>
      </c>
      <c r="K73" s="33" t="s">
        <v>1117</v>
      </c>
    </row>
    <row r="74" spans="1:11">
      <c r="A74" s="33" t="s">
        <v>553</v>
      </c>
      <c r="B74" s="38" t="s">
        <v>554</v>
      </c>
      <c r="C74" s="33" t="s">
        <v>37</v>
      </c>
      <c r="D74" s="33" t="s">
        <v>555</v>
      </c>
      <c r="E74" s="33" t="s">
        <v>556</v>
      </c>
      <c r="F74" s="33" t="s">
        <v>184</v>
      </c>
      <c r="G74" s="33">
        <v>285</v>
      </c>
      <c r="H74" s="123">
        <v>253</v>
      </c>
      <c r="I74" s="119" t="s">
        <v>221</v>
      </c>
      <c r="J74" s="32" t="s">
        <v>1043</v>
      </c>
      <c r="K74" s="33" t="s">
        <v>1117</v>
      </c>
    </row>
    <row r="75" spans="1:11">
      <c r="A75" s="33" t="s">
        <v>557</v>
      </c>
      <c r="B75" s="38" t="s">
        <v>554</v>
      </c>
      <c r="C75" s="33" t="s">
        <v>37</v>
      </c>
      <c r="D75" s="33" t="s">
        <v>555</v>
      </c>
      <c r="E75" s="33" t="s">
        <v>556</v>
      </c>
      <c r="F75" s="33" t="s">
        <v>184</v>
      </c>
      <c r="G75" s="33">
        <v>285</v>
      </c>
      <c r="H75" s="123">
        <v>253</v>
      </c>
      <c r="I75" s="119" t="s">
        <v>221</v>
      </c>
      <c r="J75" s="32" t="s">
        <v>1043</v>
      </c>
      <c r="K75" s="33" t="s">
        <v>1117</v>
      </c>
    </row>
    <row r="76" spans="1:11">
      <c r="A76" s="33" t="s">
        <v>558</v>
      </c>
      <c r="B76" s="38" t="s">
        <v>554</v>
      </c>
      <c r="C76" s="33" t="s">
        <v>37</v>
      </c>
      <c r="D76" s="33" t="s">
        <v>555</v>
      </c>
      <c r="E76" s="33" t="s">
        <v>556</v>
      </c>
      <c r="F76" s="33" t="s">
        <v>184</v>
      </c>
      <c r="G76" s="33">
        <v>285</v>
      </c>
      <c r="H76" s="123">
        <v>253</v>
      </c>
      <c r="I76" s="119" t="s">
        <v>221</v>
      </c>
      <c r="J76" s="32" t="s">
        <v>1043</v>
      </c>
      <c r="K76" s="33" t="s">
        <v>1117</v>
      </c>
    </row>
    <row r="77" spans="1:11">
      <c r="A77" s="33" t="s">
        <v>559</v>
      </c>
      <c r="B77" s="38" t="s">
        <v>554</v>
      </c>
      <c r="C77" s="33" t="s">
        <v>37</v>
      </c>
      <c r="D77" s="33" t="s">
        <v>555</v>
      </c>
      <c r="E77" s="33" t="s">
        <v>556</v>
      </c>
      <c r="F77" s="33" t="s">
        <v>184</v>
      </c>
      <c r="G77" s="33">
        <v>285</v>
      </c>
      <c r="H77" s="123">
        <v>253</v>
      </c>
      <c r="I77" s="119" t="s">
        <v>221</v>
      </c>
      <c r="J77" s="32" t="s">
        <v>1043</v>
      </c>
      <c r="K77" s="33" t="s">
        <v>1117</v>
      </c>
    </row>
    <row r="78" spans="1:11">
      <c r="A78" s="33" t="s">
        <v>560</v>
      </c>
      <c r="B78" s="38" t="s">
        <v>554</v>
      </c>
      <c r="C78" s="33" t="s">
        <v>37</v>
      </c>
      <c r="D78" s="33" t="s">
        <v>555</v>
      </c>
      <c r="E78" s="33" t="s">
        <v>556</v>
      </c>
      <c r="F78" s="33" t="s">
        <v>184</v>
      </c>
      <c r="G78" s="33">
        <v>285</v>
      </c>
      <c r="H78" s="123">
        <v>253</v>
      </c>
      <c r="I78" s="119" t="s">
        <v>221</v>
      </c>
      <c r="J78" s="32" t="s">
        <v>1043</v>
      </c>
      <c r="K78" s="33" t="s">
        <v>1117</v>
      </c>
    </row>
    <row r="79" spans="1:11">
      <c r="A79" s="33" t="s">
        <v>561</v>
      </c>
      <c r="B79" s="38" t="s">
        <v>554</v>
      </c>
      <c r="C79" s="33" t="s">
        <v>37</v>
      </c>
      <c r="D79" s="33" t="s">
        <v>555</v>
      </c>
      <c r="E79" s="33" t="s">
        <v>556</v>
      </c>
      <c r="F79" s="33" t="s">
        <v>184</v>
      </c>
      <c r="G79" s="33">
        <v>285</v>
      </c>
      <c r="H79" s="123">
        <v>253</v>
      </c>
      <c r="I79" s="119" t="s">
        <v>221</v>
      </c>
      <c r="J79" s="32" t="s">
        <v>1043</v>
      </c>
      <c r="K79" s="33" t="s">
        <v>1117</v>
      </c>
    </row>
    <row r="80" spans="1:11">
      <c r="A80" s="33" t="s">
        <v>562</v>
      </c>
      <c r="B80" s="38" t="s">
        <v>554</v>
      </c>
      <c r="C80" s="33" t="s">
        <v>37</v>
      </c>
      <c r="D80" s="33" t="s">
        <v>555</v>
      </c>
      <c r="E80" s="33" t="s">
        <v>556</v>
      </c>
      <c r="F80" s="33" t="s">
        <v>184</v>
      </c>
      <c r="G80" s="33">
        <v>285</v>
      </c>
      <c r="H80" s="123">
        <v>253</v>
      </c>
      <c r="I80" s="119" t="s">
        <v>221</v>
      </c>
      <c r="J80" s="32" t="s">
        <v>1043</v>
      </c>
      <c r="K80" s="33" t="s">
        <v>1117</v>
      </c>
    </row>
    <row r="81" spans="1:11">
      <c r="A81" s="33" t="s">
        <v>563</v>
      </c>
      <c r="B81" s="38" t="s">
        <v>554</v>
      </c>
      <c r="C81" s="33" t="s">
        <v>37</v>
      </c>
      <c r="D81" s="33" t="s">
        <v>555</v>
      </c>
      <c r="E81" s="33" t="s">
        <v>556</v>
      </c>
      <c r="F81" s="33" t="s">
        <v>184</v>
      </c>
      <c r="G81" s="33">
        <v>285</v>
      </c>
      <c r="H81" s="123">
        <v>253</v>
      </c>
      <c r="I81" s="119" t="s">
        <v>221</v>
      </c>
      <c r="J81" s="32" t="s">
        <v>1043</v>
      </c>
      <c r="K81" s="33" t="s">
        <v>1117</v>
      </c>
    </row>
    <row r="82" spans="1:11">
      <c r="A82" s="33" t="s">
        <v>564</v>
      </c>
      <c r="B82" s="38" t="s">
        <v>554</v>
      </c>
      <c r="C82" s="33" t="s">
        <v>37</v>
      </c>
      <c r="D82" s="33" t="s">
        <v>555</v>
      </c>
      <c r="E82" s="33" t="s">
        <v>556</v>
      </c>
      <c r="F82" s="33" t="s">
        <v>184</v>
      </c>
      <c r="G82" s="33">
        <v>285</v>
      </c>
      <c r="H82" s="123">
        <v>253</v>
      </c>
      <c r="I82" s="119" t="s">
        <v>221</v>
      </c>
      <c r="J82" s="32" t="s">
        <v>1043</v>
      </c>
      <c r="K82" s="33" t="s">
        <v>1117</v>
      </c>
    </row>
    <row r="83" spans="1:11">
      <c r="A83" s="33" t="s">
        <v>565</v>
      </c>
      <c r="B83" s="38" t="s">
        <v>554</v>
      </c>
      <c r="C83" s="33" t="s">
        <v>37</v>
      </c>
      <c r="D83" s="33" t="s">
        <v>555</v>
      </c>
      <c r="E83" s="33" t="s">
        <v>556</v>
      </c>
      <c r="F83" s="33" t="s">
        <v>184</v>
      </c>
      <c r="G83" s="33">
        <v>285</v>
      </c>
      <c r="H83" s="123">
        <v>253</v>
      </c>
      <c r="I83" s="119" t="s">
        <v>221</v>
      </c>
      <c r="J83" s="32" t="s">
        <v>1043</v>
      </c>
      <c r="K83" s="33" t="s">
        <v>1117</v>
      </c>
    </row>
    <row r="84" spans="1:11">
      <c r="A84" s="33" t="s">
        <v>566</v>
      </c>
      <c r="B84" s="38" t="s">
        <v>554</v>
      </c>
      <c r="C84" s="33" t="s">
        <v>37</v>
      </c>
      <c r="D84" s="33" t="s">
        <v>555</v>
      </c>
      <c r="E84" s="33" t="s">
        <v>556</v>
      </c>
      <c r="F84" s="33" t="s">
        <v>184</v>
      </c>
      <c r="G84" s="33">
        <v>285</v>
      </c>
      <c r="H84" s="123">
        <v>253</v>
      </c>
      <c r="I84" s="119" t="s">
        <v>221</v>
      </c>
      <c r="J84" s="32" t="s">
        <v>1043</v>
      </c>
      <c r="K84" s="33" t="s">
        <v>1117</v>
      </c>
    </row>
    <row r="85" spans="1:11">
      <c r="A85" s="33" t="s">
        <v>567</v>
      </c>
      <c r="B85" s="38" t="s">
        <v>554</v>
      </c>
      <c r="C85" s="33" t="s">
        <v>37</v>
      </c>
      <c r="D85" s="33" t="s">
        <v>555</v>
      </c>
      <c r="E85" s="33" t="s">
        <v>556</v>
      </c>
      <c r="F85" s="33" t="s">
        <v>184</v>
      </c>
      <c r="G85" s="33">
        <v>285</v>
      </c>
      <c r="H85" s="123">
        <v>253</v>
      </c>
      <c r="I85" s="119" t="s">
        <v>1091</v>
      </c>
      <c r="J85" s="32" t="s">
        <v>1043</v>
      </c>
      <c r="K85" s="124" t="s">
        <v>1116</v>
      </c>
    </row>
    <row r="86" spans="1:11">
      <c r="A86" s="33" t="s">
        <v>568</v>
      </c>
      <c r="B86" s="38" t="s">
        <v>554</v>
      </c>
      <c r="C86" s="33" t="s">
        <v>37</v>
      </c>
      <c r="D86" s="33" t="s">
        <v>555</v>
      </c>
      <c r="E86" s="33" t="s">
        <v>556</v>
      </c>
      <c r="F86" s="33" t="s">
        <v>184</v>
      </c>
      <c r="G86" s="33">
        <v>285</v>
      </c>
      <c r="H86" s="123">
        <v>253</v>
      </c>
      <c r="I86" s="119" t="s">
        <v>1091</v>
      </c>
      <c r="J86" s="32" t="s">
        <v>1043</v>
      </c>
      <c r="K86" s="124" t="s">
        <v>1116</v>
      </c>
    </row>
    <row r="87" spans="1:11">
      <c r="A87" s="33" t="s">
        <v>569</v>
      </c>
      <c r="B87" s="38" t="s">
        <v>554</v>
      </c>
      <c r="C87" s="33" t="s">
        <v>37</v>
      </c>
      <c r="D87" s="33" t="s">
        <v>555</v>
      </c>
      <c r="E87" s="33" t="s">
        <v>556</v>
      </c>
      <c r="F87" s="33" t="s">
        <v>184</v>
      </c>
      <c r="G87" s="33">
        <v>285</v>
      </c>
      <c r="H87" s="123">
        <v>253</v>
      </c>
      <c r="I87" s="119" t="s">
        <v>1091</v>
      </c>
      <c r="J87" s="32" t="s">
        <v>1043</v>
      </c>
      <c r="K87" s="124" t="s">
        <v>1116</v>
      </c>
    </row>
    <row r="88" spans="1:11">
      <c r="A88" s="33" t="s">
        <v>570</v>
      </c>
      <c r="B88" s="38" t="s">
        <v>554</v>
      </c>
      <c r="C88" s="33" t="s">
        <v>37</v>
      </c>
      <c r="D88" s="33" t="s">
        <v>555</v>
      </c>
      <c r="E88" s="33" t="s">
        <v>556</v>
      </c>
      <c r="F88" s="33" t="s">
        <v>184</v>
      </c>
      <c r="G88" s="33">
        <v>285</v>
      </c>
      <c r="H88" s="123">
        <v>253</v>
      </c>
      <c r="I88" s="119" t="s">
        <v>1091</v>
      </c>
      <c r="J88" s="32" t="s">
        <v>1043</v>
      </c>
      <c r="K88" s="124" t="s">
        <v>1116</v>
      </c>
    </row>
    <row r="89" spans="1:11">
      <c r="A89" s="33" t="s">
        <v>571</v>
      </c>
      <c r="B89" s="38" t="s">
        <v>554</v>
      </c>
      <c r="C89" s="33" t="s">
        <v>37</v>
      </c>
      <c r="D89" s="33" t="s">
        <v>555</v>
      </c>
      <c r="E89" s="33" t="s">
        <v>556</v>
      </c>
      <c r="F89" s="33" t="s">
        <v>184</v>
      </c>
      <c r="G89" s="33">
        <v>285</v>
      </c>
      <c r="H89" s="123">
        <v>253</v>
      </c>
      <c r="I89" s="119" t="s">
        <v>1091</v>
      </c>
      <c r="J89" s="32" t="s">
        <v>1043</v>
      </c>
      <c r="K89" s="124" t="s">
        <v>1116</v>
      </c>
    </row>
    <row r="90" spans="1:11">
      <c r="A90" s="33" t="s">
        <v>572</v>
      </c>
      <c r="B90" s="38" t="s">
        <v>554</v>
      </c>
      <c r="C90" s="33" t="s">
        <v>37</v>
      </c>
      <c r="D90" s="33" t="s">
        <v>555</v>
      </c>
      <c r="E90" s="33" t="s">
        <v>556</v>
      </c>
      <c r="F90" s="33" t="s">
        <v>184</v>
      </c>
      <c r="G90" s="33">
        <v>285</v>
      </c>
      <c r="H90" s="123">
        <v>253</v>
      </c>
      <c r="I90" s="119" t="s">
        <v>1091</v>
      </c>
      <c r="J90" s="32" t="s">
        <v>1043</v>
      </c>
      <c r="K90" s="124" t="s">
        <v>1116</v>
      </c>
    </row>
    <row r="91" spans="1:11">
      <c r="A91" s="33" t="s">
        <v>573</v>
      </c>
      <c r="B91" s="38" t="s">
        <v>554</v>
      </c>
      <c r="C91" s="33" t="s">
        <v>37</v>
      </c>
      <c r="D91" s="33" t="s">
        <v>555</v>
      </c>
      <c r="E91" s="33" t="s">
        <v>556</v>
      </c>
      <c r="F91" s="33" t="s">
        <v>184</v>
      </c>
      <c r="G91" s="33">
        <v>285</v>
      </c>
      <c r="H91" s="123">
        <v>253</v>
      </c>
      <c r="I91" s="119" t="s">
        <v>221</v>
      </c>
      <c r="J91" s="32" t="s">
        <v>1043</v>
      </c>
      <c r="K91" s="33" t="s">
        <v>1117</v>
      </c>
    </row>
    <row r="92" spans="1:11">
      <c r="A92" s="33" t="s">
        <v>574</v>
      </c>
      <c r="B92" s="38" t="s">
        <v>554</v>
      </c>
      <c r="C92" s="33" t="s">
        <v>37</v>
      </c>
      <c r="D92" s="33" t="s">
        <v>555</v>
      </c>
      <c r="E92" s="33" t="s">
        <v>556</v>
      </c>
      <c r="F92" s="33" t="s">
        <v>184</v>
      </c>
      <c r="G92" s="33">
        <v>285</v>
      </c>
      <c r="H92" s="123">
        <v>253</v>
      </c>
      <c r="I92" s="119" t="s">
        <v>221</v>
      </c>
      <c r="J92" s="32" t="s">
        <v>1043</v>
      </c>
      <c r="K92" s="33" t="s">
        <v>1117</v>
      </c>
    </row>
    <row r="93" spans="1:11">
      <c r="A93" s="33" t="s">
        <v>575</v>
      </c>
      <c r="B93" s="38" t="s">
        <v>554</v>
      </c>
      <c r="C93" s="33" t="s">
        <v>37</v>
      </c>
      <c r="D93" s="33" t="s">
        <v>555</v>
      </c>
      <c r="E93" s="33" t="s">
        <v>556</v>
      </c>
      <c r="F93" s="33" t="s">
        <v>184</v>
      </c>
      <c r="G93" s="33">
        <v>285</v>
      </c>
      <c r="H93" s="123">
        <v>253</v>
      </c>
      <c r="I93" s="119" t="s">
        <v>221</v>
      </c>
      <c r="J93" s="32" t="s">
        <v>1043</v>
      </c>
      <c r="K93" s="33" t="s">
        <v>1117</v>
      </c>
    </row>
    <row r="94" spans="1:11">
      <c r="A94" s="33" t="s">
        <v>576</v>
      </c>
      <c r="B94" s="38" t="s">
        <v>554</v>
      </c>
      <c r="C94" s="33" t="s">
        <v>37</v>
      </c>
      <c r="D94" s="33" t="s">
        <v>555</v>
      </c>
      <c r="E94" s="33" t="s">
        <v>556</v>
      </c>
      <c r="F94" s="33" t="s">
        <v>184</v>
      </c>
      <c r="G94" s="33">
        <v>285</v>
      </c>
      <c r="H94" s="123">
        <v>253</v>
      </c>
      <c r="I94" s="119" t="s">
        <v>221</v>
      </c>
      <c r="J94" s="32" t="s">
        <v>1043</v>
      </c>
      <c r="K94" s="33" t="s">
        <v>1117</v>
      </c>
    </row>
    <row r="95" spans="1:11">
      <c r="A95" s="33" t="s">
        <v>577</v>
      </c>
      <c r="B95" s="38" t="s">
        <v>554</v>
      </c>
      <c r="C95" s="33" t="s">
        <v>37</v>
      </c>
      <c r="D95" s="33" t="s">
        <v>555</v>
      </c>
      <c r="E95" s="33" t="s">
        <v>556</v>
      </c>
      <c r="F95" s="33" t="s">
        <v>184</v>
      </c>
      <c r="G95" s="33">
        <v>285</v>
      </c>
      <c r="H95" s="123">
        <v>253</v>
      </c>
      <c r="I95" s="119" t="s">
        <v>221</v>
      </c>
      <c r="J95" s="32" t="s">
        <v>1043</v>
      </c>
      <c r="K95" s="33" t="s">
        <v>1117</v>
      </c>
    </row>
    <row r="96" spans="1:11">
      <c r="A96" s="33" t="s">
        <v>578</v>
      </c>
      <c r="B96" s="38" t="s">
        <v>554</v>
      </c>
      <c r="C96" s="33" t="s">
        <v>37</v>
      </c>
      <c r="D96" s="33" t="s">
        <v>555</v>
      </c>
      <c r="E96" s="33" t="s">
        <v>556</v>
      </c>
      <c r="F96" s="33" t="s">
        <v>184</v>
      </c>
      <c r="G96" s="33">
        <v>285</v>
      </c>
      <c r="H96" s="123">
        <v>253</v>
      </c>
      <c r="I96" s="119" t="s">
        <v>221</v>
      </c>
      <c r="J96" s="32" t="s">
        <v>1043</v>
      </c>
      <c r="K96" s="33" t="s">
        <v>1117</v>
      </c>
    </row>
    <row r="97" spans="1:11">
      <c r="A97" s="33" t="s">
        <v>579</v>
      </c>
      <c r="B97" s="38" t="s">
        <v>554</v>
      </c>
      <c r="C97" s="33" t="s">
        <v>37</v>
      </c>
      <c r="D97" s="33" t="s">
        <v>555</v>
      </c>
      <c r="E97" s="33" t="s">
        <v>556</v>
      </c>
      <c r="F97" s="33" t="s">
        <v>184</v>
      </c>
      <c r="G97" s="33">
        <v>285</v>
      </c>
      <c r="H97" s="123">
        <v>253</v>
      </c>
      <c r="I97" s="119" t="s">
        <v>221</v>
      </c>
      <c r="J97" s="32" t="s">
        <v>1043</v>
      </c>
      <c r="K97" s="33" t="s">
        <v>1117</v>
      </c>
    </row>
    <row r="98" spans="1:11">
      <c r="G98" s="88"/>
      <c r="H98" s="125">
        <f>SUM(H4:H97)</f>
        <v>53129.999999999985</v>
      </c>
      <c r="I98" s="24"/>
    </row>
    <row r="99" spans="1:11">
      <c r="G99" s="88"/>
      <c r="H99" s="125"/>
      <c r="I99" s="24"/>
    </row>
    <row r="100" spans="1:11">
      <c r="G100" s="88"/>
      <c r="H100" s="125"/>
      <c r="I100" s="24"/>
    </row>
    <row r="101" spans="1:11">
      <c r="G101" s="88"/>
      <c r="H101" s="125"/>
      <c r="I101" s="24"/>
    </row>
    <row r="102" spans="1:11">
      <c r="G102" s="88"/>
      <c r="H102" s="125"/>
      <c r="I102" s="24"/>
    </row>
    <row r="103" spans="1:11" s="122" customFormat="1">
      <c r="A103" s="184" t="s">
        <v>17</v>
      </c>
      <c r="B103" s="184" t="s">
        <v>19</v>
      </c>
      <c r="C103" s="184" t="s">
        <v>20</v>
      </c>
      <c r="D103" s="184" t="s">
        <v>21</v>
      </c>
      <c r="E103" s="184" t="s">
        <v>22</v>
      </c>
      <c r="F103" s="184" t="s">
        <v>23</v>
      </c>
      <c r="G103" s="184" t="s">
        <v>24</v>
      </c>
      <c r="H103" s="186" t="s">
        <v>25</v>
      </c>
      <c r="I103" s="190" t="s">
        <v>18</v>
      </c>
      <c r="J103" s="188" t="s">
        <v>470</v>
      </c>
      <c r="K103" s="188" t="s">
        <v>1115</v>
      </c>
    </row>
    <row r="104" spans="1:11" s="122" customFormat="1">
      <c r="A104" s="185"/>
      <c r="B104" s="185"/>
      <c r="C104" s="185"/>
      <c r="D104" s="185"/>
      <c r="E104" s="185"/>
      <c r="F104" s="185"/>
      <c r="G104" s="185"/>
      <c r="H104" s="187"/>
      <c r="I104" s="190"/>
      <c r="J104" s="189"/>
      <c r="K104" s="189"/>
    </row>
    <row r="105" spans="1:11" s="122" customFormat="1" ht="24">
      <c r="A105" s="119" t="s">
        <v>105</v>
      </c>
      <c r="B105" s="38" t="s">
        <v>260</v>
      </c>
      <c r="C105" s="119" t="s">
        <v>37</v>
      </c>
      <c r="D105" s="119" t="s">
        <v>68</v>
      </c>
      <c r="E105" s="119" t="s">
        <v>69</v>
      </c>
      <c r="F105" s="33" t="s">
        <v>184</v>
      </c>
      <c r="G105" s="32">
        <v>286</v>
      </c>
      <c r="H105" s="41">
        <v>2213.75</v>
      </c>
      <c r="I105" s="119" t="s">
        <v>1055</v>
      </c>
      <c r="J105" s="32" t="s">
        <v>1043</v>
      </c>
      <c r="K105" s="33" t="s">
        <v>1117</v>
      </c>
    </row>
    <row r="106" spans="1:11" s="122" customFormat="1" ht="24">
      <c r="A106" s="119" t="s">
        <v>67</v>
      </c>
      <c r="B106" s="38" t="s">
        <v>260</v>
      </c>
      <c r="C106" s="119" t="s">
        <v>37</v>
      </c>
      <c r="D106" s="119" t="s">
        <v>68</v>
      </c>
      <c r="E106" s="119" t="s">
        <v>69</v>
      </c>
      <c r="F106" s="119" t="s">
        <v>33</v>
      </c>
      <c r="G106" s="32">
        <v>286</v>
      </c>
      <c r="H106" s="41">
        <v>2213.75</v>
      </c>
      <c r="I106" s="119" t="s">
        <v>1081</v>
      </c>
      <c r="J106" s="119" t="s">
        <v>1083</v>
      </c>
      <c r="K106" s="33" t="s">
        <v>1117</v>
      </c>
    </row>
    <row r="107" spans="1:11" s="122" customFormat="1" ht="24">
      <c r="A107" s="119" t="s">
        <v>79</v>
      </c>
      <c r="B107" s="38" t="s">
        <v>260</v>
      </c>
      <c r="C107" s="119" t="s">
        <v>37</v>
      </c>
      <c r="D107" s="119" t="s">
        <v>68</v>
      </c>
      <c r="E107" s="119" t="s">
        <v>69</v>
      </c>
      <c r="F107" s="119" t="s">
        <v>33</v>
      </c>
      <c r="G107" s="32">
        <v>286</v>
      </c>
      <c r="H107" s="41">
        <v>2213.75</v>
      </c>
      <c r="I107" s="119" t="s">
        <v>1060</v>
      </c>
      <c r="J107" s="32" t="s">
        <v>1043</v>
      </c>
      <c r="K107" s="33" t="s">
        <v>1117</v>
      </c>
    </row>
    <row r="108" spans="1:11" s="122" customFormat="1" ht="29.25" customHeight="1">
      <c r="A108" s="119" t="s">
        <v>580</v>
      </c>
      <c r="B108" s="38" t="s">
        <v>260</v>
      </c>
      <c r="C108" s="119" t="s">
        <v>37</v>
      </c>
      <c r="D108" s="119" t="s">
        <v>68</v>
      </c>
      <c r="E108" s="119" t="s">
        <v>69</v>
      </c>
      <c r="F108" s="119" t="s">
        <v>33</v>
      </c>
      <c r="G108" s="32">
        <v>286</v>
      </c>
      <c r="H108" s="41">
        <v>2213.75</v>
      </c>
      <c r="I108" s="119" t="s">
        <v>1079</v>
      </c>
      <c r="J108" s="119" t="s">
        <v>1016</v>
      </c>
      <c r="K108" s="33" t="s">
        <v>1117</v>
      </c>
    </row>
    <row r="109" spans="1:11" s="122" customFormat="1">
      <c r="A109" s="119" t="s">
        <v>46</v>
      </c>
      <c r="B109" s="38" t="s">
        <v>47</v>
      </c>
      <c r="C109" s="119" t="s">
        <v>48</v>
      </c>
      <c r="D109" s="119" t="s">
        <v>49</v>
      </c>
      <c r="E109" s="119" t="s">
        <v>50</v>
      </c>
      <c r="F109" s="119" t="s">
        <v>33</v>
      </c>
      <c r="G109" s="32">
        <v>286</v>
      </c>
      <c r="H109" s="41">
        <v>1493.85</v>
      </c>
      <c r="I109" s="119" t="s">
        <v>258</v>
      </c>
      <c r="J109" s="32" t="s">
        <v>1043</v>
      </c>
      <c r="K109" s="33" t="s">
        <v>1117</v>
      </c>
    </row>
    <row r="110" spans="1:11" s="122" customFormat="1" ht="26.25" customHeight="1">
      <c r="A110" s="119" t="s">
        <v>583</v>
      </c>
      <c r="B110" s="38" t="s">
        <v>47</v>
      </c>
      <c r="C110" s="119" t="s">
        <v>48</v>
      </c>
      <c r="D110" s="119" t="s">
        <v>49</v>
      </c>
      <c r="E110" s="119" t="s">
        <v>50</v>
      </c>
      <c r="F110" s="119" t="s">
        <v>33</v>
      </c>
      <c r="G110" s="32">
        <v>286</v>
      </c>
      <c r="H110" s="41">
        <v>1493.85</v>
      </c>
      <c r="I110" s="119" t="s">
        <v>1081</v>
      </c>
      <c r="J110" s="119" t="s">
        <v>1083</v>
      </c>
      <c r="K110" s="33" t="s">
        <v>1117</v>
      </c>
    </row>
    <row r="111" spans="1:11" ht="24">
      <c r="A111" s="119" t="s">
        <v>55</v>
      </c>
      <c r="B111" s="38" t="s">
        <v>47</v>
      </c>
      <c r="C111" s="119" t="s">
        <v>48</v>
      </c>
      <c r="D111" s="119" t="s">
        <v>49</v>
      </c>
      <c r="E111" s="119" t="s">
        <v>50</v>
      </c>
      <c r="F111" s="119" t="s">
        <v>33</v>
      </c>
      <c r="G111" s="32">
        <v>286</v>
      </c>
      <c r="H111" s="41">
        <v>1493.85</v>
      </c>
      <c r="I111" s="119" t="s">
        <v>185</v>
      </c>
      <c r="J111" s="32" t="s">
        <v>1043</v>
      </c>
      <c r="K111" s="33" t="s">
        <v>1117</v>
      </c>
    </row>
    <row r="112" spans="1:11" s="122" customFormat="1" ht="24" customHeight="1">
      <c r="A112" s="119" t="s">
        <v>71</v>
      </c>
      <c r="B112" s="38" t="s">
        <v>47</v>
      </c>
      <c r="C112" s="119" t="s">
        <v>48</v>
      </c>
      <c r="D112" s="119" t="s">
        <v>49</v>
      </c>
      <c r="E112" s="119" t="s">
        <v>50</v>
      </c>
      <c r="F112" s="119" t="s">
        <v>33</v>
      </c>
      <c r="G112" s="32">
        <v>286</v>
      </c>
      <c r="H112" s="41">
        <v>1493.85</v>
      </c>
      <c r="I112" s="119" t="s">
        <v>1086</v>
      </c>
      <c r="J112" s="119" t="s">
        <v>1085</v>
      </c>
      <c r="K112" s="33" t="s">
        <v>1117</v>
      </c>
    </row>
    <row r="113" spans="1:11" s="126" customFormat="1" ht="19.5" customHeight="1">
      <c r="A113" s="119" t="s">
        <v>581</v>
      </c>
      <c r="B113" s="38" t="s">
        <v>47</v>
      </c>
      <c r="C113" s="119" t="s">
        <v>48</v>
      </c>
      <c r="D113" s="119" t="s">
        <v>49</v>
      </c>
      <c r="E113" s="119" t="s">
        <v>50</v>
      </c>
      <c r="F113" s="119" t="s">
        <v>54</v>
      </c>
      <c r="G113" s="32">
        <v>286</v>
      </c>
      <c r="H113" s="41">
        <v>1493.85</v>
      </c>
      <c r="I113" s="119" t="s">
        <v>1091</v>
      </c>
      <c r="J113" s="32" t="s">
        <v>1043</v>
      </c>
      <c r="K113" s="124" t="s">
        <v>1116</v>
      </c>
    </row>
    <row r="114" spans="1:11" s="126" customFormat="1" ht="24">
      <c r="A114" s="119" t="s">
        <v>582</v>
      </c>
      <c r="B114" s="38" t="s">
        <v>47</v>
      </c>
      <c r="C114" s="119" t="s">
        <v>48</v>
      </c>
      <c r="D114" s="119" t="s">
        <v>259</v>
      </c>
      <c r="E114" s="119" t="s">
        <v>50</v>
      </c>
      <c r="F114" s="119" t="s">
        <v>33</v>
      </c>
      <c r="G114" s="32">
        <v>286</v>
      </c>
      <c r="H114" s="41">
        <v>1493.85</v>
      </c>
      <c r="I114" s="119" t="s">
        <v>1086</v>
      </c>
      <c r="J114" s="119" t="s">
        <v>1085</v>
      </c>
      <c r="K114" s="33" t="s">
        <v>1117</v>
      </c>
    </row>
    <row r="115" spans="1:11" s="122" customFormat="1" ht="24">
      <c r="A115" s="119" t="s">
        <v>585</v>
      </c>
      <c r="B115" s="38" t="s">
        <v>57</v>
      </c>
      <c r="C115" s="119" t="s">
        <v>37</v>
      </c>
      <c r="D115" s="119" t="s">
        <v>58</v>
      </c>
      <c r="E115" s="119" t="s">
        <v>59</v>
      </c>
      <c r="F115" s="119" t="s">
        <v>33</v>
      </c>
      <c r="G115" s="32">
        <v>286</v>
      </c>
      <c r="H115" s="41">
        <v>3530.5</v>
      </c>
      <c r="I115" s="119" t="s">
        <v>185</v>
      </c>
      <c r="J115" s="32" t="s">
        <v>1043</v>
      </c>
      <c r="K115" s="33" t="s">
        <v>1117</v>
      </c>
    </row>
    <row r="116" spans="1:11" ht="24">
      <c r="A116" s="119" t="s">
        <v>56</v>
      </c>
      <c r="B116" s="38" t="s">
        <v>57</v>
      </c>
      <c r="C116" s="119" t="s">
        <v>37</v>
      </c>
      <c r="D116" s="119" t="s">
        <v>58</v>
      </c>
      <c r="E116" s="119" t="s">
        <v>59</v>
      </c>
      <c r="F116" s="119" t="s">
        <v>33</v>
      </c>
      <c r="G116" s="32">
        <v>286</v>
      </c>
      <c r="H116" s="41">
        <v>3530.5</v>
      </c>
      <c r="I116" s="119" t="s">
        <v>1051</v>
      </c>
      <c r="J116" s="32" t="s">
        <v>1043</v>
      </c>
      <c r="K116" s="33" t="s">
        <v>1117</v>
      </c>
    </row>
    <row r="117" spans="1:11" s="122" customFormat="1" ht="24">
      <c r="A117" s="119" t="s">
        <v>62</v>
      </c>
      <c r="B117" s="38" t="s">
        <v>57</v>
      </c>
      <c r="C117" s="119" t="s">
        <v>37</v>
      </c>
      <c r="D117" s="119" t="s">
        <v>58</v>
      </c>
      <c r="E117" s="119" t="s">
        <v>59</v>
      </c>
      <c r="F117" s="119" t="s">
        <v>33</v>
      </c>
      <c r="G117" s="32">
        <v>286</v>
      </c>
      <c r="H117" s="41">
        <v>3530.5</v>
      </c>
      <c r="I117" s="119" t="s">
        <v>258</v>
      </c>
      <c r="J117" s="32" t="s">
        <v>1043</v>
      </c>
      <c r="K117" s="33" t="s">
        <v>1117</v>
      </c>
    </row>
    <row r="118" spans="1:11" s="122" customFormat="1" ht="24" customHeight="1">
      <c r="A118" s="119" t="s">
        <v>94</v>
      </c>
      <c r="B118" s="38" t="s">
        <v>57</v>
      </c>
      <c r="C118" s="119" t="s">
        <v>37</v>
      </c>
      <c r="D118" s="119" t="s">
        <v>58</v>
      </c>
      <c r="E118" s="119" t="s">
        <v>59</v>
      </c>
      <c r="F118" s="119" t="s">
        <v>33</v>
      </c>
      <c r="G118" s="32">
        <v>286</v>
      </c>
      <c r="H118" s="41">
        <v>3530.5</v>
      </c>
      <c r="I118" s="119" t="s">
        <v>1058</v>
      </c>
      <c r="J118" s="32" t="s">
        <v>1043</v>
      </c>
      <c r="K118" s="33" t="s">
        <v>1117</v>
      </c>
    </row>
    <row r="119" spans="1:11" s="122" customFormat="1" ht="24">
      <c r="A119" s="119" t="s">
        <v>886</v>
      </c>
      <c r="B119" s="38" t="s">
        <v>64</v>
      </c>
      <c r="C119" s="119"/>
      <c r="D119" s="119" t="s">
        <v>65</v>
      </c>
      <c r="E119" s="119" t="s">
        <v>66</v>
      </c>
      <c r="F119" s="119" t="s">
        <v>33</v>
      </c>
      <c r="G119" s="32">
        <v>286</v>
      </c>
      <c r="H119" s="41">
        <v>960.25</v>
      </c>
      <c r="I119" s="119" t="s">
        <v>185</v>
      </c>
      <c r="J119" s="32" t="s">
        <v>1043</v>
      </c>
      <c r="K119" s="33" t="s">
        <v>1117</v>
      </c>
    </row>
    <row r="120" spans="1:11" s="122" customFormat="1" ht="47.25" customHeight="1">
      <c r="A120" s="119" t="s">
        <v>44</v>
      </c>
      <c r="B120" s="38" t="s">
        <v>645</v>
      </c>
      <c r="C120" s="119" t="s">
        <v>37</v>
      </c>
      <c r="D120" s="119" t="s">
        <v>45</v>
      </c>
      <c r="E120" s="119" t="s">
        <v>43</v>
      </c>
      <c r="F120" s="119" t="s">
        <v>33</v>
      </c>
      <c r="G120" s="32">
        <v>286</v>
      </c>
      <c r="H120" s="41">
        <v>3880.1</v>
      </c>
      <c r="I120" s="119" t="s">
        <v>1081</v>
      </c>
      <c r="J120" s="119" t="s">
        <v>1084</v>
      </c>
      <c r="K120" s="33" t="s">
        <v>1117</v>
      </c>
    </row>
    <row r="121" spans="1:11">
      <c r="A121" s="119" t="s">
        <v>586</v>
      </c>
      <c r="B121" s="38" t="s">
        <v>263</v>
      </c>
      <c r="C121" s="119" t="s">
        <v>261</v>
      </c>
      <c r="D121" s="42" t="s">
        <v>262</v>
      </c>
      <c r="E121" s="119" t="s">
        <v>50</v>
      </c>
      <c r="F121" s="119" t="s">
        <v>54</v>
      </c>
      <c r="G121" s="32">
        <v>286</v>
      </c>
      <c r="H121" s="41">
        <f>263*1.15</f>
        <v>302.45</v>
      </c>
      <c r="I121" s="119" t="s">
        <v>1091</v>
      </c>
      <c r="J121" s="32" t="s">
        <v>1043</v>
      </c>
      <c r="K121" s="124" t="s">
        <v>1116</v>
      </c>
    </row>
    <row r="122" spans="1:11">
      <c r="A122" s="119" t="s">
        <v>587</v>
      </c>
      <c r="B122" s="38" t="s">
        <v>263</v>
      </c>
      <c r="C122" s="119" t="s">
        <v>261</v>
      </c>
      <c r="D122" s="42" t="s">
        <v>262</v>
      </c>
      <c r="E122" s="119" t="s">
        <v>50</v>
      </c>
      <c r="F122" s="119" t="s">
        <v>54</v>
      </c>
      <c r="G122" s="32">
        <v>286</v>
      </c>
      <c r="H122" s="41">
        <f t="shared" ref="H122:H132" si="0">263*1.15</f>
        <v>302.45</v>
      </c>
      <c r="I122" s="119" t="s">
        <v>1091</v>
      </c>
      <c r="J122" s="32" t="s">
        <v>1043</v>
      </c>
      <c r="K122" s="124" t="s">
        <v>1116</v>
      </c>
    </row>
    <row r="123" spans="1:11">
      <c r="A123" s="119" t="s">
        <v>588</v>
      </c>
      <c r="B123" s="38" t="s">
        <v>263</v>
      </c>
      <c r="C123" s="119" t="s">
        <v>261</v>
      </c>
      <c r="D123" s="42" t="s">
        <v>262</v>
      </c>
      <c r="E123" s="119" t="s">
        <v>50</v>
      </c>
      <c r="F123" s="119" t="s">
        <v>54</v>
      </c>
      <c r="G123" s="32">
        <v>286</v>
      </c>
      <c r="H123" s="41">
        <f t="shared" si="0"/>
        <v>302.45</v>
      </c>
      <c r="I123" s="119" t="s">
        <v>1091</v>
      </c>
      <c r="J123" s="32" t="s">
        <v>1043</v>
      </c>
      <c r="K123" s="124" t="s">
        <v>1116</v>
      </c>
    </row>
    <row r="124" spans="1:11">
      <c r="A124" s="119" t="s">
        <v>589</v>
      </c>
      <c r="B124" s="38" t="s">
        <v>263</v>
      </c>
      <c r="C124" s="119" t="s">
        <v>261</v>
      </c>
      <c r="D124" s="42" t="s">
        <v>262</v>
      </c>
      <c r="E124" s="119" t="s">
        <v>50</v>
      </c>
      <c r="F124" s="119" t="s">
        <v>54</v>
      </c>
      <c r="G124" s="32">
        <v>286</v>
      </c>
      <c r="H124" s="41">
        <f t="shared" si="0"/>
        <v>302.45</v>
      </c>
      <c r="I124" s="119" t="s">
        <v>1091</v>
      </c>
      <c r="J124" s="32" t="s">
        <v>1043</v>
      </c>
      <c r="K124" s="124" t="s">
        <v>1116</v>
      </c>
    </row>
    <row r="125" spans="1:11">
      <c r="A125" s="119" t="s">
        <v>590</v>
      </c>
      <c r="B125" s="38" t="s">
        <v>263</v>
      </c>
      <c r="C125" s="119" t="s">
        <v>261</v>
      </c>
      <c r="D125" s="42" t="s">
        <v>262</v>
      </c>
      <c r="E125" s="119" t="s">
        <v>50</v>
      </c>
      <c r="F125" s="119" t="s">
        <v>54</v>
      </c>
      <c r="G125" s="32">
        <v>286</v>
      </c>
      <c r="H125" s="41">
        <f t="shared" si="0"/>
        <v>302.45</v>
      </c>
      <c r="I125" s="119" t="s">
        <v>1091</v>
      </c>
      <c r="J125" s="32" t="s">
        <v>1043</v>
      </c>
      <c r="K125" s="124" t="s">
        <v>1116</v>
      </c>
    </row>
    <row r="126" spans="1:11">
      <c r="A126" s="119" t="s">
        <v>591</v>
      </c>
      <c r="B126" s="38" t="s">
        <v>263</v>
      </c>
      <c r="C126" s="119" t="s">
        <v>261</v>
      </c>
      <c r="D126" s="42" t="s">
        <v>262</v>
      </c>
      <c r="E126" s="119" t="s">
        <v>50</v>
      </c>
      <c r="F126" s="119" t="s">
        <v>54</v>
      </c>
      <c r="G126" s="32">
        <v>286</v>
      </c>
      <c r="H126" s="41">
        <f t="shared" si="0"/>
        <v>302.45</v>
      </c>
      <c r="I126" s="119" t="s">
        <v>1091</v>
      </c>
      <c r="J126" s="32" t="s">
        <v>1043</v>
      </c>
      <c r="K126" s="124" t="s">
        <v>1116</v>
      </c>
    </row>
    <row r="127" spans="1:11">
      <c r="A127" s="119" t="s">
        <v>592</v>
      </c>
      <c r="B127" s="38" t="s">
        <v>263</v>
      </c>
      <c r="C127" s="119" t="s">
        <v>261</v>
      </c>
      <c r="D127" s="119" t="s">
        <v>262</v>
      </c>
      <c r="E127" s="119" t="s">
        <v>50</v>
      </c>
      <c r="F127" s="119" t="s">
        <v>54</v>
      </c>
      <c r="G127" s="32">
        <v>286</v>
      </c>
      <c r="H127" s="41">
        <f t="shared" si="0"/>
        <v>302.45</v>
      </c>
      <c r="I127" s="119" t="s">
        <v>61</v>
      </c>
      <c r="J127" s="32" t="s">
        <v>1043</v>
      </c>
      <c r="K127" s="33" t="s">
        <v>1117</v>
      </c>
    </row>
    <row r="128" spans="1:11" ht="14.25" customHeight="1">
      <c r="A128" s="119" t="s">
        <v>516</v>
      </c>
      <c r="B128" s="38" t="s">
        <v>263</v>
      </c>
      <c r="C128" s="119" t="s">
        <v>261</v>
      </c>
      <c r="D128" s="42" t="s">
        <v>262</v>
      </c>
      <c r="E128" s="119" t="s">
        <v>50</v>
      </c>
      <c r="F128" s="119" t="s">
        <v>54</v>
      </c>
      <c r="G128" s="32">
        <v>286</v>
      </c>
      <c r="H128" s="41">
        <f t="shared" si="0"/>
        <v>302.45</v>
      </c>
      <c r="I128" s="119" t="s">
        <v>1106</v>
      </c>
      <c r="J128" s="32" t="s">
        <v>1043</v>
      </c>
      <c r="K128" s="124" t="s">
        <v>1118</v>
      </c>
    </row>
    <row r="129" spans="1:11">
      <c r="A129" s="119" t="s">
        <v>593</v>
      </c>
      <c r="B129" s="38" t="s">
        <v>263</v>
      </c>
      <c r="C129" s="119" t="s">
        <v>261</v>
      </c>
      <c r="D129" s="42" t="s">
        <v>262</v>
      </c>
      <c r="E129" s="119" t="s">
        <v>50</v>
      </c>
      <c r="F129" s="119" t="s">
        <v>54</v>
      </c>
      <c r="G129" s="32">
        <v>286</v>
      </c>
      <c r="H129" s="41">
        <f t="shared" si="0"/>
        <v>302.45</v>
      </c>
      <c r="I129" s="119" t="s">
        <v>1106</v>
      </c>
      <c r="J129" s="32" t="s">
        <v>1043</v>
      </c>
      <c r="K129" s="124" t="s">
        <v>1118</v>
      </c>
    </row>
    <row r="130" spans="1:11">
      <c r="A130" s="119" t="s">
        <v>594</v>
      </c>
      <c r="B130" s="38" t="s">
        <v>263</v>
      </c>
      <c r="C130" s="119" t="s">
        <v>261</v>
      </c>
      <c r="D130" s="42" t="s">
        <v>262</v>
      </c>
      <c r="E130" s="119" t="s">
        <v>50</v>
      </c>
      <c r="F130" s="119" t="s">
        <v>54</v>
      </c>
      <c r="G130" s="32">
        <v>286</v>
      </c>
      <c r="H130" s="41">
        <f t="shared" si="0"/>
        <v>302.45</v>
      </c>
      <c r="I130" s="119" t="s">
        <v>61</v>
      </c>
      <c r="J130" s="32" t="s">
        <v>1043</v>
      </c>
      <c r="K130" s="33" t="s">
        <v>1117</v>
      </c>
    </row>
    <row r="131" spans="1:11">
      <c r="A131" s="119" t="s">
        <v>595</v>
      </c>
      <c r="B131" s="38" t="s">
        <v>263</v>
      </c>
      <c r="C131" s="119" t="s">
        <v>261</v>
      </c>
      <c r="D131" s="42" t="s">
        <v>262</v>
      </c>
      <c r="E131" s="119" t="s">
        <v>50</v>
      </c>
      <c r="F131" s="119" t="s">
        <v>54</v>
      </c>
      <c r="G131" s="32">
        <v>286</v>
      </c>
      <c r="H131" s="41">
        <f t="shared" si="0"/>
        <v>302.45</v>
      </c>
      <c r="I131" s="119" t="s">
        <v>1062</v>
      </c>
      <c r="J131" s="32" t="s">
        <v>1043</v>
      </c>
      <c r="K131" s="33" t="s">
        <v>1117</v>
      </c>
    </row>
    <row r="132" spans="1:11">
      <c r="A132" s="119" t="s">
        <v>596</v>
      </c>
      <c r="B132" s="38" t="s">
        <v>263</v>
      </c>
      <c r="C132" s="119" t="s">
        <v>261</v>
      </c>
      <c r="D132" s="42" t="s">
        <v>262</v>
      </c>
      <c r="E132" s="119" t="s">
        <v>50</v>
      </c>
      <c r="F132" s="119" t="s">
        <v>54</v>
      </c>
      <c r="G132" s="32">
        <v>286</v>
      </c>
      <c r="H132" s="41">
        <f t="shared" si="0"/>
        <v>302.45</v>
      </c>
      <c r="I132" s="119" t="s">
        <v>1062</v>
      </c>
      <c r="J132" s="32" t="s">
        <v>1043</v>
      </c>
      <c r="K132" s="33" t="s">
        <v>1117</v>
      </c>
    </row>
    <row r="133" spans="1:11">
      <c r="H133" s="125">
        <f>SUM(H105:H132)</f>
        <v>40409.849999999969</v>
      </c>
      <c r="I133" s="24"/>
    </row>
    <row r="134" spans="1:11">
      <c r="H134" s="125"/>
      <c r="I134" s="24"/>
    </row>
    <row r="135" spans="1:11" s="122" customFormat="1">
      <c r="A135" s="184" t="s">
        <v>17</v>
      </c>
      <c r="B135" s="184" t="s">
        <v>19</v>
      </c>
      <c r="C135" s="184" t="s">
        <v>20</v>
      </c>
      <c r="D135" s="184" t="s">
        <v>21</v>
      </c>
      <c r="E135" s="184" t="s">
        <v>22</v>
      </c>
      <c r="F135" s="184" t="s">
        <v>23</v>
      </c>
      <c r="G135" s="184" t="s">
        <v>24</v>
      </c>
      <c r="H135" s="186" t="s">
        <v>25</v>
      </c>
      <c r="I135" s="190" t="s">
        <v>18</v>
      </c>
      <c r="J135" s="188" t="s">
        <v>470</v>
      </c>
      <c r="K135" s="188" t="s">
        <v>1115</v>
      </c>
    </row>
    <row r="136" spans="1:11" s="122" customFormat="1">
      <c r="A136" s="185"/>
      <c r="B136" s="185"/>
      <c r="C136" s="185"/>
      <c r="D136" s="185"/>
      <c r="E136" s="185"/>
      <c r="F136" s="185"/>
      <c r="G136" s="185"/>
      <c r="H136" s="187"/>
      <c r="I136" s="190"/>
      <c r="J136" s="189"/>
      <c r="K136" s="189"/>
    </row>
    <row r="137" spans="1:11" ht="66.75" customHeight="1">
      <c r="A137" s="119" t="s">
        <v>850</v>
      </c>
      <c r="B137" s="38" t="s">
        <v>276</v>
      </c>
      <c r="C137" s="119" t="s">
        <v>77</v>
      </c>
      <c r="D137" s="119" t="s">
        <v>275</v>
      </c>
      <c r="E137" s="119" t="s">
        <v>43</v>
      </c>
      <c r="F137" s="119" t="s">
        <v>54</v>
      </c>
      <c r="G137" s="32">
        <v>287</v>
      </c>
      <c r="H137" s="41">
        <f>5139*1.15</f>
        <v>5909.8499999999995</v>
      </c>
      <c r="I137" s="119" t="s">
        <v>1091</v>
      </c>
      <c r="J137" s="32" t="s">
        <v>1043</v>
      </c>
      <c r="K137" s="33" t="s">
        <v>1116</v>
      </c>
    </row>
    <row r="138" spans="1:11" ht="15" customHeight="1">
      <c r="A138" s="119" t="s">
        <v>597</v>
      </c>
      <c r="B138" s="38" t="s">
        <v>598</v>
      </c>
      <c r="C138" s="119" t="s">
        <v>37</v>
      </c>
      <c r="D138" s="119" t="s">
        <v>72</v>
      </c>
      <c r="E138" s="119" t="s">
        <v>599</v>
      </c>
      <c r="F138" s="119" t="s">
        <v>184</v>
      </c>
      <c r="G138" s="32">
        <v>287</v>
      </c>
      <c r="H138" s="41">
        <v>1932</v>
      </c>
      <c r="I138" s="119" t="s">
        <v>61</v>
      </c>
      <c r="J138" s="32" t="s">
        <v>1043</v>
      </c>
      <c r="K138" s="33" t="s">
        <v>1117</v>
      </c>
    </row>
    <row r="139" spans="1:11" ht="21.75" customHeight="1">
      <c r="A139" s="119" t="s">
        <v>600</v>
      </c>
      <c r="B139" s="38" t="s">
        <v>598</v>
      </c>
      <c r="C139" s="119" t="s">
        <v>37</v>
      </c>
      <c r="D139" s="119" t="s">
        <v>72</v>
      </c>
      <c r="E139" s="119" t="s">
        <v>599</v>
      </c>
      <c r="F139" s="119" t="s">
        <v>54</v>
      </c>
      <c r="G139" s="32">
        <v>287</v>
      </c>
      <c r="H139" s="41">
        <v>1932</v>
      </c>
      <c r="I139" s="119" t="s">
        <v>1106</v>
      </c>
      <c r="J139" s="32" t="s">
        <v>1043</v>
      </c>
      <c r="K139" s="124" t="s">
        <v>1118</v>
      </c>
    </row>
    <row r="140" spans="1:11">
      <c r="H140" s="125">
        <f>SUM(H137:H139)</f>
        <v>9773.8499999999985</v>
      </c>
      <c r="I140" s="24"/>
    </row>
    <row r="141" spans="1:11">
      <c r="H141" s="127">
        <f>+H98+H133+H140</f>
        <v>103313.69999999995</v>
      </c>
      <c r="I141" s="24"/>
    </row>
    <row r="142" spans="1:11">
      <c r="I142" s="24"/>
      <c r="K142" s="121" t="s">
        <v>1112</v>
      </c>
    </row>
    <row r="143" spans="1:11">
      <c r="I143" s="24"/>
    </row>
    <row r="144" spans="1:11" s="122" customFormat="1">
      <c r="A144" s="184" t="s">
        <v>17</v>
      </c>
      <c r="B144" s="184" t="s">
        <v>19</v>
      </c>
      <c r="C144" s="184" t="s">
        <v>20</v>
      </c>
      <c r="D144" s="184" t="s">
        <v>21</v>
      </c>
      <c r="E144" s="184" t="s">
        <v>22</v>
      </c>
      <c r="F144" s="184" t="s">
        <v>23</v>
      </c>
      <c r="G144" s="184" t="s">
        <v>24</v>
      </c>
      <c r="H144" s="186" t="s">
        <v>25</v>
      </c>
      <c r="I144" s="190" t="s">
        <v>18</v>
      </c>
      <c r="J144" s="188" t="s">
        <v>470</v>
      </c>
      <c r="K144" s="188" t="s">
        <v>1115</v>
      </c>
    </row>
    <row r="145" spans="1:11" s="122" customFormat="1">
      <c r="A145" s="185"/>
      <c r="B145" s="185"/>
      <c r="C145" s="185"/>
      <c r="D145" s="185"/>
      <c r="E145" s="185"/>
      <c r="F145" s="185"/>
      <c r="G145" s="185"/>
      <c r="H145" s="187"/>
      <c r="I145" s="190"/>
      <c r="J145" s="189"/>
      <c r="K145" s="189"/>
    </row>
    <row r="146" spans="1:11" s="122" customFormat="1" ht="27" customHeight="1">
      <c r="A146" s="119" t="s">
        <v>333</v>
      </c>
      <c r="B146" s="38" t="s">
        <v>334</v>
      </c>
      <c r="C146" s="119" t="s">
        <v>335</v>
      </c>
      <c r="D146" s="119" t="s">
        <v>336</v>
      </c>
      <c r="E146" s="32" t="s">
        <v>34</v>
      </c>
      <c r="F146" s="119" t="s">
        <v>184</v>
      </c>
      <c r="G146" s="119">
        <v>7348</v>
      </c>
      <c r="H146" s="43">
        <f>2300*1.15</f>
        <v>2645</v>
      </c>
      <c r="I146" s="119" t="s">
        <v>1054</v>
      </c>
      <c r="J146" s="32" t="s">
        <v>1043</v>
      </c>
      <c r="K146" s="33" t="s">
        <v>1117</v>
      </c>
    </row>
    <row r="147" spans="1:11" s="122" customFormat="1" ht="14.25" customHeight="1">
      <c r="A147" s="119" t="s">
        <v>327</v>
      </c>
      <c r="B147" s="38" t="s">
        <v>328</v>
      </c>
      <c r="C147" s="119" t="s">
        <v>329</v>
      </c>
      <c r="D147" s="119" t="s">
        <v>37</v>
      </c>
      <c r="E147" s="32" t="s">
        <v>330</v>
      </c>
      <c r="F147" s="119" t="s">
        <v>33</v>
      </c>
      <c r="G147" s="119">
        <v>7348</v>
      </c>
      <c r="H147" s="43">
        <v>50.02</v>
      </c>
      <c r="I147" s="119" t="s">
        <v>185</v>
      </c>
      <c r="J147" s="32" t="s">
        <v>1043</v>
      </c>
      <c r="K147" s="33" t="s">
        <v>1117</v>
      </c>
    </row>
    <row r="148" spans="1:11" s="122" customFormat="1">
      <c r="A148" s="119" t="s">
        <v>331</v>
      </c>
      <c r="B148" s="38" t="s">
        <v>328</v>
      </c>
      <c r="C148" s="119" t="s">
        <v>329</v>
      </c>
      <c r="D148" s="119" t="s">
        <v>37</v>
      </c>
      <c r="E148" s="32" t="s">
        <v>330</v>
      </c>
      <c r="F148" s="119" t="s">
        <v>33</v>
      </c>
      <c r="G148" s="42">
        <v>7348</v>
      </c>
      <c r="H148" s="43">
        <v>50</v>
      </c>
      <c r="I148" s="119" t="s">
        <v>258</v>
      </c>
      <c r="J148" s="32" t="s">
        <v>1043</v>
      </c>
      <c r="K148" s="33" t="s">
        <v>1117</v>
      </c>
    </row>
    <row r="149" spans="1:11" s="122" customFormat="1">
      <c r="A149" s="119" t="s">
        <v>332</v>
      </c>
      <c r="B149" s="38" t="s">
        <v>328</v>
      </c>
      <c r="C149" s="119" t="s">
        <v>329</v>
      </c>
      <c r="D149" s="119" t="s">
        <v>37</v>
      </c>
      <c r="E149" s="32" t="s">
        <v>330</v>
      </c>
      <c r="F149" s="119" t="s">
        <v>54</v>
      </c>
      <c r="G149" s="42">
        <v>7348</v>
      </c>
      <c r="H149" s="43">
        <f>43.48*1.15</f>
        <v>50.001999999999995</v>
      </c>
      <c r="I149" s="119" t="s">
        <v>1057</v>
      </c>
      <c r="J149" s="32" t="s">
        <v>1043</v>
      </c>
      <c r="K149" s="33" t="s">
        <v>1117</v>
      </c>
    </row>
    <row r="150" spans="1:11" s="122" customFormat="1">
      <c r="A150" s="119" t="s">
        <v>1014</v>
      </c>
      <c r="B150" s="38" t="s">
        <v>328</v>
      </c>
      <c r="C150" s="119" t="s">
        <v>329</v>
      </c>
      <c r="D150" s="119" t="s">
        <v>37</v>
      </c>
      <c r="E150" s="32" t="s">
        <v>330</v>
      </c>
      <c r="F150" s="119" t="s">
        <v>33</v>
      </c>
      <c r="G150" s="42">
        <v>7348</v>
      </c>
      <c r="H150" s="43">
        <v>50</v>
      </c>
      <c r="I150" s="119" t="s">
        <v>1059</v>
      </c>
      <c r="J150" s="32" t="s">
        <v>1043</v>
      </c>
      <c r="K150" s="33" t="s">
        <v>1117</v>
      </c>
    </row>
    <row r="151" spans="1:11">
      <c r="A151" s="119" t="s">
        <v>337</v>
      </c>
      <c r="B151" s="38" t="s">
        <v>328</v>
      </c>
      <c r="C151" s="119" t="s">
        <v>329</v>
      </c>
      <c r="D151" s="42" t="s">
        <v>37</v>
      </c>
      <c r="E151" s="32" t="s">
        <v>330</v>
      </c>
      <c r="F151" s="119" t="s">
        <v>54</v>
      </c>
      <c r="G151" s="42">
        <v>7348</v>
      </c>
      <c r="H151" s="43">
        <v>50</v>
      </c>
      <c r="I151" s="119" t="s">
        <v>1055</v>
      </c>
      <c r="J151" s="32" t="s">
        <v>1043</v>
      </c>
      <c r="K151" s="33" t="s">
        <v>1117</v>
      </c>
    </row>
    <row r="152" spans="1:11">
      <c r="A152" s="119" t="s">
        <v>338</v>
      </c>
      <c r="B152" s="38" t="s">
        <v>328</v>
      </c>
      <c r="C152" s="119" t="s">
        <v>329</v>
      </c>
      <c r="D152" s="119" t="s">
        <v>37</v>
      </c>
      <c r="E152" s="32" t="s">
        <v>330</v>
      </c>
      <c r="F152" s="119" t="s">
        <v>54</v>
      </c>
      <c r="G152" s="119">
        <v>7348</v>
      </c>
      <c r="H152" s="43">
        <v>50</v>
      </c>
      <c r="I152" s="119" t="s">
        <v>1106</v>
      </c>
      <c r="J152" s="32" t="s">
        <v>1043</v>
      </c>
      <c r="K152" s="33" t="s">
        <v>1118</v>
      </c>
    </row>
    <row r="153" spans="1:11">
      <c r="A153" s="119" t="s">
        <v>339</v>
      </c>
      <c r="B153" s="38" t="s">
        <v>328</v>
      </c>
      <c r="C153" s="119" t="s">
        <v>329</v>
      </c>
      <c r="D153" s="119" t="s">
        <v>37</v>
      </c>
      <c r="E153" s="32" t="s">
        <v>330</v>
      </c>
      <c r="F153" s="119" t="s">
        <v>54</v>
      </c>
      <c r="G153" s="119">
        <v>7348</v>
      </c>
      <c r="H153" s="43">
        <v>50</v>
      </c>
      <c r="I153" s="119" t="s">
        <v>1106</v>
      </c>
      <c r="J153" s="32" t="s">
        <v>1043</v>
      </c>
      <c r="K153" s="33" t="s">
        <v>1118</v>
      </c>
    </row>
    <row r="154" spans="1:11">
      <c r="A154" s="119" t="s">
        <v>340</v>
      </c>
      <c r="B154" s="38" t="s">
        <v>328</v>
      </c>
      <c r="C154" s="119" t="s">
        <v>329</v>
      </c>
      <c r="D154" s="119" t="s">
        <v>37</v>
      </c>
      <c r="E154" s="32" t="s">
        <v>330</v>
      </c>
      <c r="F154" s="119" t="s">
        <v>54</v>
      </c>
      <c r="G154" s="119">
        <v>7348</v>
      </c>
      <c r="H154" s="43">
        <v>50</v>
      </c>
      <c r="I154" s="119" t="s">
        <v>1106</v>
      </c>
      <c r="J154" s="32" t="s">
        <v>1043</v>
      </c>
      <c r="K154" s="33" t="s">
        <v>1118</v>
      </c>
    </row>
    <row r="155" spans="1:11">
      <c r="A155" s="119" t="s">
        <v>28</v>
      </c>
      <c r="B155" s="38" t="s">
        <v>328</v>
      </c>
      <c r="C155" s="119" t="s">
        <v>329</v>
      </c>
      <c r="D155" s="119" t="s">
        <v>37</v>
      </c>
      <c r="E155" s="32" t="s">
        <v>330</v>
      </c>
      <c r="F155" s="119" t="s">
        <v>54</v>
      </c>
      <c r="G155" s="119">
        <v>7348</v>
      </c>
      <c r="H155" s="43">
        <v>50</v>
      </c>
      <c r="I155" s="119" t="s">
        <v>1106</v>
      </c>
      <c r="J155" s="32" t="s">
        <v>1043</v>
      </c>
      <c r="K155" s="33" t="s">
        <v>1118</v>
      </c>
    </row>
    <row r="156" spans="1:11">
      <c r="A156" s="119" t="s">
        <v>601</v>
      </c>
      <c r="B156" s="38" t="s">
        <v>328</v>
      </c>
      <c r="C156" s="119" t="s">
        <v>329</v>
      </c>
      <c r="D156" s="119" t="s">
        <v>37</v>
      </c>
      <c r="E156" s="32" t="s">
        <v>330</v>
      </c>
      <c r="F156" s="119" t="s">
        <v>54</v>
      </c>
      <c r="G156" s="119">
        <v>7348</v>
      </c>
      <c r="H156" s="43">
        <v>50</v>
      </c>
      <c r="I156" s="119" t="s">
        <v>1106</v>
      </c>
      <c r="J156" s="32" t="s">
        <v>1043</v>
      </c>
      <c r="K156" s="33" t="s">
        <v>1118</v>
      </c>
    </row>
    <row r="157" spans="1:11">
      <c r="A157" s="119" t="s">
        <v>602</v>
      </c>
      <c r="B157" s="38" t="s">
        <v>328</v>
      </c>
      <c r="C157" s="119" t="s">
        <v>329</v>
      </c>
      <c r="D157" s="119" t="s">
        <v>37</v>
      </c>
      <c r="E157" s="32" t="s">
        <v>330</v>
      </c>
      <c r="F157" s="119" t="s">
        <v>54</v>
      </c>
      <c r="G157" s="119">
        <v>7348</v>
      </c>
      <c r="H157" s="43">
        <v>50</v>
      </c>
      <c r="I157" s="119" t="s">
        <v>1106</v>
      </c>
      <c r="J157" s="32" t="s">
        <v>1043</v>
      </c>
      <c r="K157" s="33" t="s">
        <v>1118</v>
      </c>
    </row>
    <row r="158" spans="1:11">
      <c r="A158" s="119" t="s">
        <v>603</v>
      </c>
      <c r="B158" s="38" t="s">
        <v>328</v>
      </c>
      <c r="C158" s="119" t="s">
        <v>329</v>
      </c>
      <c r="D158" s="119" t="s">
        <v>37</v>
      </c>
      <c r="E158" s="32" t="s">
        <v>330</v>
      </c>
      <c r="F158" s="119" t="s">
        <v>54</v>
      </c>
      <c r="G158" s="119">
        <v>7348</v>
      </c>
      <c r="H158" s="43">
        <v>50</v>
      </c>
      <c r="I158" s="119" t="s">
        <v>1106</v>
      </c>
      <c r="J158" s="32" t="s">
        <v>1043</v>
      </c>
      <c r="K158" s="33" t="s">
        <v>1118</v>
      </c>
    </row>
    <row r="159" spans="1:11">
      <c r="H159" s="128">
        <f>SUM(H146:H158)</f>
        <v>3245.0219999999999</v>
      </c>
      <c r="I159" s="24"/>
    </row>
    <row r="160" spans="1:11">
      <c r="H160" s="128"/>
      <c r="I160" s="24"/>
    </row>
    <row r="161" spans="1:11" s="122" customFormat="1">
      <c r="A161" s="184" t="s">
        <v>17</v>
      </c>
      <c r="B161" s="184" t="s">
        <v>19</v>
      </c>
      <c r="C161" s="184" t="s">
        <v>20</v>
      </c>
      <c r="D161" s="184" t="s">
        <v>21</v>
      </c>
      <c r="E161" s="184" t="s">
        <v>22</v>
      </c>
      <c r="F161" s="184" t="s">
        <v>23</v>
      </c>
      <c r="G161" s="184" t="s">
        <v>24</v>
      </c>
      <c r="H161" s="186" t="s">
        <v>25</v>
      </c>
      <c r="I161" s="194" t="s">
        <v>18</v>
      </c>
      <c r="J161" s="188" t="s">
        <v>470</v>
      </c>
      <c r="K161" s="188" t="s">
        <v>1115</v>
      </c>
    </row>
    <row r="162" spans="1:11" s="122" customFormat="1">
      <c r="A162" s="185"/>
      <c r="B162" s="185"/>
      <c r="C162" s="185"/>
      <c r="D162" s="185"/>
      <c r="E162" s="185"/>
      <c r="F162" s="185"/>
      <c r="G162" s="185"/>
      <c r="H162" s="187"/>
      <c r="I162" s="194"/>
      <c r="J162" s="189"/>
      <c r="K162" s="189"/>
    </row>
    <row r="163" spans="1:11">
      <c r="A163" s="119"/>
      <c r="B163" s="32" t="s">
        <v>341</v>
      </c>
      <c r="C163" s="119" t="s">
        <v>342</v>
      </c>
      <c r="D163" s="42"/>
      <c r="E163" s="32"/>
      <c r="F163" s="119"/>
      <c r="G163" s="119">
        <v>34417</v>
      </c>
      <c r="H163" s="135">
        <v>342</v>
      </c>
      <c r="I163" s="119" t="s">
        <v>1106</v>
      </c>
      <c r="J163" s="32" t="s">
        <v>1043</v>
      </c>
      <c r="K163" s="33" t="s">
        <v>1118</v>
      </c>
    </row>
    <row r="164" spans="1:11">
      <c r="I164" s="24"/>
    </row>
    <row r="165" spans="1:11" s="122" customFormat="1">
      <c r="A165" s="184" t="s">
        <v>17</v>
      </c>
      <c r="B165" s="184" t="s">
        <v>19</v>
      </c>
      <c r="C165" s="184" t="s">
        <v>20</v>
      </c>
      <c r="D165" s="184" t="s">
        <v>21</v>
      </c>
      <c r="E165" s="184" t="s">
        <v>22</v>
      </c>
      <c r="F165" s="184" t="s">
        <v>23</v>
      </c>
      <c r="G165" s="184" t="s">
        <v>24</v>
      </c>
      <c r="H165" s="186" t="s">
        <v>25</v>
      </c>
      <c r="I165" s="194" t="s">
        <v>18</v>
      </c>
      <c r="J165" s="188" t="s">
        <v>470</v>
      </c>
      <c r="K165" s="188" t="s">
        <v>1115</v>
      </c>
    </row>
    <row r="166" spans="1:11" s="122" customFormat="1">
      <c r="A166" s="185"/>
      <c r="B166" s="185"/>
      <c r="C166" s="185"/>
      <c r="D166" s="185"/>
      <c r="E166" s="185"/>
      <c r="F166" s="185"/>
      <c r="G166" s="185"/>
      <c r="H166" s="187"/>
      <c r="I166" s="194"/>
      <c r="J166" s="189"/>
      <c r="K166" s="189"/>
    </row>
    <row r="167" spans="1:11" ht="24">
      <c r="A167" s="136" t="s">
        <v>343</v>
      </c>
      <c r="B167" s="32" t="s">
        <v>344</v>
      </c>
      <c r="C167" s="119" t="s">
        <v>345</v>
      </c>
      <c r="D167" s="42">
        <v>33206</v>
      </c>
      <c r="E167" s="32" t="s">
        <v>344</v>
      </c>
      <c r="F167" s="119" t="s">
        <v>33</v>
      </c>
      <c r="G167" s="119" t="s">
        <v>346</v>
      </c>
      <c r="H167" s="43">
        <v>4749</v>
      </c>
      <c r="I167" s="119" t="s">
        <v>366</v>
      </c>
      <c r="J167" s="119" t="s">
        <v>605</v>
      </c>
      <c r="K167" s="33" t="s">
        <v>1110</v>
      </c>
    </row>
    <row r="168" spans="1:11" ht="24">
      <c r="A168" s="136" t="s">
        <v>347</v>
      </c>
      <c r="B168" s="32" t="s">
        <v>348</v>
      </c>
      <c r="C168" s="119" t="s">
        <v>345</v>
      </c>
      <c r="D168" s="42">
        <v>23689</v>
      </c>
      <c r="E168" s="32" t="s">
        <v>604</v>
      </c>
      <c r="F168" s="119" t="s">
        <v>33</v>
      </c>
      <c r="G168" s="119" t="s">
        <v>346</v>
      </c>
      <c r="H168" s="43">
        <f>1726.095*1.15</f>
        <v>1985.0092499999998</v>
      </c>
      <c r="I168" s="119" t="s">
        <v>366</v>
      </c>
      <c r="J168" s="119" t="s">
        <v>605</v>
      </c>
      <c r="K168" s="33" t="s">
        <v>1110</v>
      </c>
    </row>
    <row r="169" spans="1:11" ht="24">
      <c r="A169" s="136" t="s">
        <v>349</v>
      </c>
      <c r="B169" s="32" t="s">
        <v>350</v>
      </c>
      <c r="C169" s="119" t="s">
        <v>345</v>
      </c>
      <c r="D169" s="42" t="s">
        <v>351</v>
      </c>
      <c r="E169" s="32" t="s">
        <v>352</v>
      </c>
      <c r="F169" s="119" t="s">
        <v>33</v>
      </c>
      <c r="G169" s="119" t="s">
        <v>346</v>
      </c>
      <c r="H169" s="43">
        <f>2173.04*1.15</f>
        <v>2498.9959999999996</v>
      </c>
      <c r="I169" s="119" t="s">
        <v>366</v>
      </c>
      <c r="J169" s="119" t="s">
        <v>605</v>
      </c>
      <c r="K169" s="33" t="s">
        <v>1110</v>
      </c>
    </row>
    <row r="170" spans="1:11" ht="24">
      <c r="A170" s="136" t="s">
        <v>353</v>
      </c>
      <c r="B170" s="32" t="s">
        <v>354</v>
      </c>
      <c r="C170" s="119" t="s">
        <v>345</v>
      </c>
      <c r="D170" s="42" t="s">
        <v>355</v>
      </c>
      <c r="E170" s="32" t="s">
        <v>356</v>
      </c>
      <c r="F170" s="119" t="s">
        <v>33</v>
      </c>
      <c r="G170" s="119" t="s">
        <v>346</v>
      </c>
      <c r="H170" s="43">
        <f>1738.26*1.15</f>
        <v>1998.9989999999998</v>
      </c>
      <c r="I170" s="119" t="s">
        <v>366</v>
      </c>
      <c r="J170" s="119" t="s">
        <v>605</v>
      </c>
      <c r="K170" s="33" t="s">
        <v>1110</v>
      </c>
    </row>
    <row r="171" spans="1:11" ht="24">
      <c r="A171" s="136" t="s">
        <v>357</v>
      </c>
      <c r="B171" s="32" t="s">
        <v>354</v>
      </c>
      <c r="C171" s="119" t="s">
        <v>345</v>
      </c>
      <c r="D171" s="42" t="s">
        <v>355</v>
      </c>
      <c r="E171" s="32" t="s">
        <v>356</v>
      </c>
      <c r="F171" s="119" t="s">
        <v>33</v>
      </c>
      <c r="G171" s="119" t="s">
        <v>346</v>
      </c>
      <c r="H171" s="43">
        <f t="shared" ref="H171:H179" si="1">1738.26*1.15</f>
        <v>1998.9989999999998</v>
      </c>
      <c r="I171" s="119" t="s">
        <v>366</v>
      </c>
      <c r="J171" s="119" t="s">
        <v>605</v>
      </c>
      <c r="K171" s="33" t="s">
        <v>1110</v>
      </c>
    </row>
    <row r="172" spans="1:11" ht="24">
      <c r="A172" s="136" t="s">
        <v>358</v>
      </c>
      <c r="B172" s="32" t="s">
        <v>354</v>
      </c>
      <c r="C172" s="119" t="s">
        <v>345</v>
      </c>
      <c r="D172" s="42" t="s">
        <v>355</v>
      </c>
      <c r="E172" s="32" t="s">
        <v>356</v>
      </c>
      <c r="F172" s="119" t="s">
        <v>33</v>
      </c>
      <c r="G172" s="119" t="s">
        <v>346</v>
      </c>
      <c r="H172" s="43">
        <f t="shared" si="1"/>
        <v>1998.9989999999998</v>
      </c>
      <c r="I172" s="119" t="s">
        <v>366</v>
      </c>
      <c r="J172" s="119" t="s">
        <v>605</v>
      </c>
      <c r="K172" s="33" t="s">
        <v>1110</v>
      </c>
    </row>
    <row r="173" spans="1:11" ht="24">
      <c r="A173" s="136" t="s">
        <v>359</v>
      </c>
      <c r="B173" s="32" t="s">
        <v>354</v>
      </c>
      <c r="C173" s="119" t="s">
        <v>345</v>
      </c>
      <c r="D173" s="42" t="s">
        <v>355</v>
      </c>
      <c r="E173" s="32" t="s">
        <v>356</v>
      </c>
      <c r="F173" s="119" t="s">
        <v>33</v>
      </c>
      <c r="G173" s="119" t="s">
        <v>346</v>
      </c>
      <c r="H173" s="43">
        <f t="shared" si="1"/>
        <v>1998.9989999999998</v>
      </c>
      <c r="I173" s="119" t="s">
        <v>366</v>
      </c>
      <c r="J173" s="119" t="s">
        <v>605</v>
      </c>
      <c r="K173" s="33" t="s">
        <v>1110</v>
      </c>
    </row>
    <row r="174" spans="1:11" ht="24">
      <c r="A174" s="136" t="s">
        <v>360</v>
      </c>
      <c r="B174" s="32" t="s">
        <v>354</v>
      </c>
      <c r="C174" s="119" t="s">
        <v>345</v>
      </c>
      <c r="D174" s="42" t="s">
        <v>355</v>
      </c>
      <c r="E174" s="32" t="s">
        <v>356</v>
      </c>
      <c r="F174" s="119" t="s">
        <v>33</v>
      </c>
      <c r="G174" s="119" t="s">
        <v>346</v>
      </c>
      <c r="H174" s="43">
        <f t="shared" si="1"/>
        <v>1998.9989999999998</v>
      </c>
      <c r="I174" s="119" t="s">
        <v>366</v>
      </c>
      <c r="J174" s="119" t="s">
        <v>605</v>
      </c>
      <c r="K174" s="33" t="s">
        <v>1110</v>
      </c>
    </row>
    <row r="175" spans="1:11" ht="24">
      <c r="A175" s="136" t="s">
        <v>361</v>
      </c>
      <c r="B175" s="32" t="s">
        <v>354</v>
      </c>
      <c r="C175" s="119" t="s">
        <v>345</v>
      </c>
      <c r="D175" s="42" t="s">
        <v>355</v>
      </c>
      <c r="E175" s="32" t="s">
        <v>356</v>
      </c>
      <c r="F175" s="119" t="s">
        <v>33</v>
      </c>
      <c r="G175" s="119" t="s">
        <v>346</v>
      </c>
      <c r="H175" s="43">
        <f t="shared" si="1"/>
        <v>1998.9989999999998</v>
      </c>
      <c r="I175" s="119" t="s">
        <v>366</v>
      </c>
      <c r="J175" s="119" t="s">
        <v>605</v>
      </c>
      <c r="K175" s="33" t="s">
        <v>1110</v>
      </c>
    </row>
    <row r="176" spans="1:11" ht="24">
      <c r="A176" s="136" t="s">
        <v>362</v>
      </c>
      <c r="B176" s="32" t="s">
        <v>354</v>
      </c>
      <c r="C176" s="119" t="s">
        <v>345</v>
      </c>
      <c r="D176" s="42" t="s">
        <v>355</v>
      </c>
      <c r="E176" s="32" t="s">
        <v>356</v>
      </c>
      <c r="F176" s="119" t="s">
        <v>33</v>
      </c>
      <c r="G176" s="119" t="s">
        <v>346</v>
      </c>
      <c r="H176" s="43">
        <f t="shared" si="1"/>
        <v>1998.9989999999998</v>
      </c>
      <c r="I176" s="119" t="s">
        <v>366</v>
      </c>
      <c r="J176" s="119" t="s">
        <v>605</v>
      </c>
      <c r="K176" s="33" t="s">
        <v>1110</v>
      </c>
    </row>
    <row r="177" spans="1:11" ht="24">
      <c r="A177" s="136" t="s">
        <v>363</v>
      </c>
      <c r="B177" s="32" t="s">
        <v>354</v>
      </c>
      <c r="C177" s="119" t="s">
        <v>345</v>
      </c>
      <c r="D177" s="42" t="s">
        <v>355</v>
      </c>
      <c r="E177" s="32" t="s">
        <v>356</v>
      </c>
      <c r="F177" s="119" t="s">
        <v>33</v>
      </c>
      <c r="G177" s="119" t="s">
        <v>346</v>
      </c>
      <c r="H177" s="43">
        <f t="shared" si="1"/>
        <v>1998.9989999999998</v>
      </c>
      <c r="I177" s="119" t="s">
        <v>366</v>
      </c>
      <c r="J177" s="119" t="s">
        <v>605</v>
      </c>
      <c r="K177" s="33" t="s">
        <v>1110</v>
      </c>
    </row>
    <row r="178" spans="1:11" ht="24">
      <c r="A178" s="136" t="s">
        <v>364</v>
      </c>
      <c r="B178" s="32" t="s">
        <v>354</v>
      </c>
      <c r="C178" s="119" t="s">
        <v>345</v>
      </c>
      <c r="D178" s="42" t="s">
        <v>355</v>
      </c>
      <c r="E178" s="32" t="s">
        <v>356</v>
      </c>
      <c r="F178" s="119" t="s">
        <v>33</v>
      </c>
      <c r="G178" s="119" t="s">
        <v>346</v>
      </c>
      <c r="H178" s="43">
        <f t="shared" si="1"/>
        <v>1998.9989999999998</v>
      </c>
      <c r="I178" s="119" t="s">
        <v>366</v>
      </c>
      <c r="J178" s="119" t="s">
        <v>605</v>
      </c>
      <c r="K178" s="33" t="s">
        <v>1110</v>
      </c>
    </row>
    <row r="179" spans="1:11" ht="24">
      <c r="A179" s="136" t="s">
        <v>365</v>
      </c>
      <c r="B179" s="32" t="s">
        <v>354</v>
      </c>
      <c r="C179" s="119" t="s">
        <v>345</v>
      </c>
      <c r="D179" s="42" t="s">
        <v>355</v>
      </c>
      <c r="E179" s="32" t="s">
        <v>356</v>
      </c>
      <c r="F179" s="119" t="s">
        <v>33</v>
      </c>
      <c r="G179" s="119" t="s">
        <v>346</v>
      </c>
      <c r="H179" s="43">
        <f t="shared" si="1"/>
        <v>1998.9989999999998</v>
      </c>
      <c r="I179" s="119" t="s">
        <v>366</v>
      </c>
      <c r="J179" s="119" t="s">
        <v>605</v>
      </c>
      <c r="K179" s="33" t="s">
        <v>1110</v>
      </c>
    </row>
    <row r="180" spans="1:11">
      <c r="H180" s="125">
        <f>SUM(H167:H179)</f>
        <v>29222.99525</v>
      </c>
      <c r="I180" s="191"/>
    </row>
    <row r="181" spans="1:11">
      <c r="I181" s="192"/>
    </row>
    <row r="182" spans="1:11" ht="16.5" customHeight="1">
      <c r="A182" s="119" t="s">
        <v>367</v>
      </c>
      <c r="B182" s="32" t="s">
        <v>368</v>
      </c>
      <c r="C182" s="119" t="s">
        <v>369</v>
      </c>
      <c r="D182" s="119" t="s">
        <v>370</v>
      </c>
      <c r="E182" s="32" t="s">
        <v>371</v>
      </c>
      <c r="F182" s="119"/>
      <c r="G182" s="119">
        <v>3698</v>
      </c>
      <c r="H182" s="43">
        <v>-1</v>
      </c>
      <c r="I182" s="119" t="s">
        <v>325</v>
      </c>
      <c r="J182" s="119" t="s">
        <v>372</v>
      </c>
      <c r="K182" s="124"/>
    </row>
    <row r="183" spans="1:11">
      <c r="H183" s="129">
        <f>SUM(H182)</f>
        <v>-1</v>
      </c>
      <c r="I183" s="191"/>
    </row>
    <row r="184" spans="1:11">
      <c r="I184" s="192"/>
    </row>
    <row r="185" spans="1:11" s="122" customFormat="1">
      <c r="A185" s="184" t="s">
        <v>17</v>
      </c>
      <c r="B185" s="184" t="s">
        <v>19</v>
      </c>
      <c r="C185" s="184" t="s">
        <v>20</v>
      </c>
      <c r="D185" s="184" t="s">
        <v>21</v>
      </c>
      <c r="E185" s="184" t="s">
        <v>22</v>
      </c>
      <c r="F185" s="184" t="s">
        <v>23</v>
      </c>
      <c r="G185" s="184" t="s">
        <v>24</v>
      </c>
      <c r="H185" s="186" t="s">
        <v>25</v>
      </c>
      <c r="I185" s="184" t="s">
        <v>18</v>
      </c>
      <c r="J185" s="188" t="s">
        <v>470</v>
      </c>
      <c r="K185" s="188" t="s">
        <v>1115</v>
      </c>
    </row>
    <row r="186" spans="1:11" s="122" customFormat="1">
      <c r="A186" s="185"/>
      <c r="B186" s="185"/>
      <c r="C186" s="185"/>
      <c r="D186" s="185"/>
      <c r="E186" s="185"/>
      <c r="F186" s="185"/>
      <c r="G186" s="185"/>
      <c r="H186" s="187"/>
      <c r="I186" s="185"/>
      <c r="J186" s="189"/>
      <c r="K186" s="189"/>
    </row>
    <row r="187" spans="1:11" ht="24">
      <c r="A187" s="119" t="s">
        <v>606</v>
      </c>
      <c r="B187" s="38" t="s">
        <v>0</v>
      </c>
      <c r="C187" s="119" t="s">
        <v>345</v>
      </c>
      <c r="D187" s="119">
        <v>50387</v>
      </c>
      <c r="E187" s="32" t="s">
        <v>373</v>
      </c>
      <c r="F187" s="119" t="s">
        <v>33</v>
      </c>
      <c r="G187" s="119" t="s">
        <v>14</v>
      </c>
      <c r="H187" s="43">
        <v>3999</v>
      </c>
      <c r="I187" s="119" t="s">
        <v>1079</v>
      </c>
      <c r="J187" s="119" t="s">
        <v>620</v>
      </c>
      <c r="K187" s="33" t="s">
        <v>1117</v>
      </c>
    </row>
    <row r="188" spans="1:11" ht="24">
      <c r="A188" s="119" t="s">
        <v>607</v>
      </c>
      <c r="B188" s="38" t="s">
        <v>1</v>
      </c>
      <c r="C188" s="119" t="s">
        <v>345</v>
      </c>
      <c r="D188" s="119">
        <v>38440</v>
      </c>
      <c r="E188" s="32" t="s">
        <v>373</v>
      </c>
      <c r="F188" s="119" t="s">
        <v>33</v>
      </c>
      <c r="G188" s="119" t="s">
        <v>14</v>
      </c>
      <c r="H188" s="43">
        <v>2899</v>
      </c>
      <c r="I188" s="119" t="s">
        <v>192</v>
      </c>
      <c r="J188" s="119" t="s">
        <v>1070</v>
      </c>
      <c r="K188" s="33" t="s">
        <v>1117</v>
      </c>
    </row>
    <row r="189" spans="1:11" ht="29.25" customHeight="1">
      <c r="A189" s="119" t="s">
        <v>608</v>
      </c>
      <c r="B189" s="38" t="s">
        <v>2</v>
      </c>
      <c r="C189" s="119" t="s">
        <v>345</v>
      </c>
      <c r="D189" s="119">
        <v>47207</v>
      </c>
      <c r="E189" s="32" t="s">
        <v>373</v>
      </c>
      <c r="F189" s="119" t="s">
        <v>33</v>
      </c>
      <c r="G189" s="119" t="s">
        <v>14</v>
      </c>
      <c r="H189" s="43">
        <v>7749</v>
      </c>
      <c r="I189" s="119" t="s">
        <v>192</v>
      </c>
      <c r="J189" s="119" t="s">
        <v>1070</v>
      </c>
      <c r="K189" s="33" t="s">
        <v>1117</v>
      </c>
    </row>
    <row r="190" spans="1:11" s="122" customFormat="1" ht="13.5" customHeight="1">
      <c r="A190" s="184" t="s">
        <v>17</v>
      </c>
      <c r="B190" s="184" t="s">
        <v>19</v>
      </c>
      <c r="C190" s="184" t="s">
        <v>20</v>
      </c>
      <c r="D190" s="184" t="s">
        <v>21</v>
      </c>
      <c r="E190" s="184" t="s">
        <v>22</v>
      </c>
      <c r="F190" s="184" t="s">
        <v>23</v>
      </c>
      <c r="G190" s="184" t="s">
        <v>24</v>
      </c>
      <c r="H190" s="186" t="s">
        <v>25</v>
      </c>
      <c r="I190" s="184" t="s">
        <v>18</v>
      </c>
      <c r="J190" s="188" t="s">
        <v>470</v>
      </c>
      <c r="K190" s="188" t="s">
        <v>1115</v>
      </c>
    </row>
    <row r="191" spans="1:11" s="122" customFormat="1">
      <c r="A191" s="185"/>
      <c r="B191" s="185"/>
      <c r="C191" s="185"/>
      <c r="D191" s="185"/>
      <c r="E191" s="185"/>
      <c r="F191" s="185"/>
      <c r="G191" s="185"/>
      <c r="H191" s="187"/>
      <c r="I191" s="185"/>
      <c r="J191" s="189"/>
      <c r="K191" s="189"/>
    </row>
    <row r="192" spans="1:11" ht="24">
      <c r="A192" s="119" t="s">
        <v>609</v>
      </c>
      <c r="B192" s="38" t="s">
        <v>3</v>
      </c>
      <c r="C192" s="119" t="s">
        <v>345</v>
      </c>
      <c r="D192" s="119">
        <v>50650</v>
      </c>
      <c r="E192" s="32" t="s">
        <v>373</v>
      </c>
      <c r="F192" s="119" t="s">
        <v>33</v>
      </c>
      <c r="G192" s="119" t="s">
        <v>14</v>
      </c>
      <c r="H192" s="43">
        <v>3799</v>
      </c>
      <c r="I192" s="119" t="s">
        <v>192</v>
      </c>
      <c r="J192" s="119" t="s">
        <v>1070</v>
      </c>
      <c r="K192" s="33" t="s">
        <v>1117</v>
      </c>
    </row>
    <row r="193" spans="1:11" ht="24">
      <c r="A193" s="119" t="s">
        <v>610</v>
      </c>
      <c r="B193" s="38" t="s">
        <v>375</v>
      </c>
      <c r="C193" s="119" t="s">
        <v>345</v>
      </c>
      <c r="D193" s="119">
        <v>38438</v>
      </c>
      <c r="E193" s="32" t="s">
        <v>376</v>
      </c>
      <c r="F193" s="119" t="s">
        <v>33</v>
      </c>
      <c r="G193" s="119" t="s">
        <v>14</v>
      </c>
      <c r="H193" s="43">
        <f>2999.79/2</f>
        <v>1499.895</v>
      </c>
      <c r="I193" s="119" t="s">
        <v>192</v>
      </c>
      <c r="J193" s="119" t="s">
        <v>1070</v>
      </c>
      <c r="K193" s="33" t="s">
        <v>1117</v>
      </c>
    </row>
    <row r="194" spans="1:11" ht="24">
      <c r="A194" s="119" t="s">
        <v>611</v>
      </c>
      <c r="B194" s="38" t="s">
        <v>375</v>
      </c>
      <c r="C194" s="119" t="s">
        <v>345</v>
      </c>
      <c r="D194" s="119">
        <v>38438</v>
      </c>
      <c r="E194" s="32" t="s">
        <v>376</v>
      </c>
      <c r="F194" s="119" t="s">
        <v>33</v>
      </c>
      <c r="G194" s="119" t="s">
        <v>14</v>
      </c>
      <c r="H194" s="43">
        <f>+H193</f>
        <v>1499.895</v>
      </c>
      <c r="I194" s="119" t="s">
        <v>192</v>
      </c>
      <c r="J194" s="119" t="s">
        <v>1070</v>
      </c>
      <c r="K194" s="33" t="s">
        <v>1117</v>
      </c>
    </row>
    <row r="195" spans="1:11" ht="24">
      <c r="A195" s="119" t="s">
        <v>612</v>
      </c>
      <c r="B195" s="38" t="s">
        <v>4</v>
      </c>
      <c r="C195" s="119" t="s">
        <v>345</v>
      </c>
      <c r="D195" s="119">
        <v>49450</v>
      </c>
      <c r="E195" s="32" t="s">
        <v>378</v>
      </c>
      <c r="F195" s="119" t="s">
        <v>33</v>
      </c>
      <c r="G195" s="119" t="s">
        <v>14</v>
      </c>
      <c r="H195" s="43">
        <v>999</v>
      </c>
      <c r="I195" s="119" t="s">
        <v>1079</v>
      </c>
      <c r="J195" s="119" t="s">
        <v>620</v>
      </c>
      <c r="K195" s="33" t="s">
        <v>1117</v>
      </c>
    </row>
    <row r="196" spans="1:11" ht="36">
      <c r="A196" s="119" t="s">
        <v>613</v>
      </c>
      <c r="B196" s="38" t="s">
        <v>5</v>
      </c>
      <c r="C196" s="119" t="s">
        <v>345</v>
      </c>
      <c r="D196" s="119">
        <v>49451</v>
      </c>
      <c r="E196" s="32" t="s">
        <v>378</v>
      </c>
      <c r="F196" s="119" t="s">
        <v>33</v>
      </c>
      <c r="G196" s="119" t="s">
        <v>14</v>
      </c>
      <c r="H196" s="43">
        <v>1999</v>
      </c>
      <c r="I196" s="119" t="s">
        <v>385</v>
      </c>
      <c r="J196" s="119" t="s">
        <v>1072</v>
      </c>
      <c r="K196" s="33" t="s">
        <v>1117</v>
      </c>
    </row>
    <row r="197" spans="1:11" ht="36">
      <c r="A197" s="119" t="s">
        <v>614</v>
      </c>
      <c r="B197" s="38" t="s">
        <v>7</v>
      </c>
      <c r="C197" s="119" t="s">
        <v>374</v>
      </c>
      <c r="D197" s="119">
        <v>47105</v>
      </c>
      <c r="E197" s="32" t="s">
        <v>378</v>
      </c>
      <c r="F197" s="119" t="s">
        <v>54</v>
      </c>
      <c r="G197" s="119" t="s">
        <v>14</v>
      </c>
      <c r="H197" s="43">
        <v>339</v>
      </c>
      <c r="I197" s="119" t="s">
        <v>385</v>
      </c>
      <c r="J197" s="119" t="s">
        <v>1072</v>
      </c>
      <c r="K197" s="33" t="s">
        <v>1117</v>
      </c>
    </row>
    <row r="198" spans="1:11" ht="24">
      <c r="A198" s="119" t="s">
        <v>615</v>
      </c>
      <c r="B198" s="38" t="s">
        <v>8</v>
      </c>
      <c r="C198" s="119" t="s">
        <v>345</v>
      </c>
      <c r="D198" s="119">
        <v>16224</v>
      </c>
      <c r="E198" s="32" t="s">
        <v>379</v>
      </c>
      <c r="F198" s="119" t="s">
        <v>33</v>
      </c>
      <c r="G198" s="119" t="s">
        <v>14</v>
      </c>
      <c r="H198" s="43">
        <v>179</v>
      </c>
      <c r="I198" s="119" t="s">
        <v>192</v>
      </c>
      <c r="J198" s="119" t="s">
        <v>1070</v>
      </c>
      <c r="K198" s="33" t="s">
        <v>1117</v>
      </c>
    </row>
    <row r="199" spans="1:11" ht="24">
      <c r="A199" s="119" t="s">
        <v>621</v>
      </c>
      <c r="B199" s="38" t="s">
        <v>9</v>
      </c>
      <c r="C199" s="119" t="s">
        <v>345</v>
      </c>
      <c r="D199" s="119">
        <v>43914</v>
      </c>
      <c r="E199" s="32" t="s">
        <v>371</v>
      </c>
      <c r="F199" s="119" t="s">
        <v>33</v>
      </c>
      <c r="G199" s="119" t="s">
        <v>14</v>
      </c>
      <c r="H199" s="43">
        <f>417/3</f>
        <v>139</v>
      </c>
      <c r="I199" s="119" t="s">
        <v>192</v>
      </c>
      <c r="J199" s="119" t="s">
        <v>1070</v>
      </c>
      <c r="K199" s="33" t="s">
        <v>1117</v>
      </c>
    </row>
    <row r="200" spans="1:11" ht="36">
      <c r="A200" s="119" t="s">
        <v>616</v>
      </c>
      <c r="B200" s="38" t="s">
        <v>9</v>
      </c>
      <c r="C200" s="119" t="s">
        <v>345</v>
      </c>
      <c r="D200" s="119">
        <v>43914</v>
      </c>
      <c r="E200" s="32" t="s">
        <v>371</v>
      </c>
      <c r="F200" s="119" t="s">
        <v>33</v>
      </c>
      <c r="G200" s="119" t="s">
        <v>14</v>
      </c>
      <c r="H200" s="43">
        <v>139</v>
      </c>
      <c r="I200" s="119" t="s">
        <v>1079</v>
      </c>
      <c r="J200" s="119" t="s">
        <v>1072</v>
      </c>
      <c r="K200" s="33" t="s">
        <v>1117</v>
      </c>
    </row>
    <row r="201" spans="1:11" ht="24">
      <c r="A201" s="119" t="s">
        <v>617</v>
      </c>
      <c r="B201" s="38" t="s">
        <v>9</v>
      </c>
      <c r="C201" s="119" t="s">
        <v>345</v>
      </c>
      <c r="D201" s="119">
        <v>43914</v>
      </c>
      <c r="E201" s="32" t="s">
        <v>34</v>
      </c>
      <c r="F201" s="119" t="s">
        <v>33</v>
      </c>
      <c r="G201" s="119" t="s">
        <v>14</v>
      </c>
      <c r="H201" s="43">
        <v>139</v>
      </c>
      <c r="I201" s="119" t="s">
        <v>1079</v>
      </c>
      <c r="J201" s="119" t="s">
        <v>620</v>
      </c>
      <c r="K201" s="33" t="s">
        <v>1117</v>
      </c>
    </row>
    <row r="202" spans="1:11" ht="24">
      <c r="A202" s="119" t="s">
        <v>618</v>
      </c>
      <c r="B202" s="38" t="s">
        <v>12</v>
      </c>
      <c r="C202" s="119" t="s">
        <v>345</v>
      </c>
      <c r="D202" s="119">
        <v>50730</v>
      </c>
      <c r="E202" s="32" t="s">
        <v>377</v>
      </c>
      <c r="F202" s="119" t="s">
        <v>33</v>
      </c>
      <c r="G202" s="119" t="s">
        <v>14</v>
      </c>
      <c r="H202" s="43">
        <v>399.01</v>
      </c>
      <c r="I202" s="119" t="s">
        <v>192</v>
      </c>
      <c r="J202" s="119" t="s">
        <v>1070</v>
      </c>
      <c r="K202" s="33" t="s">
        <v>1117</v>
      </c>
    </row>
    <row r="203" spans="1:11">
      <c r="H203" s="130">
        <f>SUM(H187:H202)</f>
        <v>25777.8</v>
      </c>
      <c r="I203" s="24"/>
      <c r="J203" s="131"/>
    </row>
    <row r="204" spans="1:11">
      <c r="H204" s="130"/>
      <c r="I204" s="24"/>
      <c r="J204" s="131"/>
    </row>
    <row r="205" spans="1:11" s="122" customFormat="1">
      <c r="A205" s="184" t="s">
        <v>17</v>
      </c>
      <c r="B205" s="184" t="s">
        <v>19</v>
      </c>
      <c r="C205" s="184" t="s">
        <v>20</v>
      </c>
      <c r="D205" s="184" t="s">
        <v>21</v>
      </c>
      <c r="E205" s="184" t="s">
        <v>22</v>
      </c>
      <c r="F205" s="184" t="s">
        <v>23</v>
      </c>
      <c r="G205" s="184" t="s">
        <v>24</v>
      </c>
      <c r="H205" s="195" t="s">
        <v>25</v>
      </c>
      <c r="I205" s="194" t="s">
        <v>18</v>
      </c>
      <c r="J205" s="188" t="s">
        <v>470</v>
      </c>
      <c r="K205" s="188" t="s">
        <v>1115</v>
      </c>
    </row>
    <row r="206" spans="1:11" s="122" customFormat="1">
      <c r="A206" s="185"/>
      <c r="B206" s="185"/>
      <c r="C206" s="185"/>
      <c r="D206" s="185"/>
      <c r="E206" s="185"/>
      <c r="F206" s="185"/>
      <c r="G206" s="185"/>
      <c r="H206" s="195"/>
      <c r="I206" s="194"/>
      <c r="J206" s="189"/>
      <c r="K206" s="189"/>
    </row>
    <row r="207" spans="1:11" ht="24">
      <c r="A207" s="119" t="s">
        <v>619</v>
      </c>
      <c r="B207" s="32" t="s">
        <v>382</v>
      </c>
      <c r="C207" s="119" t="s">
        <v>383</v>
      </c>
      <c r="D207" s="42"/>
      <c r="E207" s="32" t="s">
        <v>384</v>
      </c>
      <c r="F207" s="119" t="s">
        <v>33</v>
      </c>
      <c r="G207" s="119">
        <v>9927</v>
      </c>
      <c r="H207" s="43">
        <v>2299.9899999999998</v>
      </c>
      <c r="I207" s="119" t="s">
        <v>1075</v>
      </c>
      <c r="J207" s="119" t="s">
        <v>1074</v>
      </c>
      <c r="K207" s="33" t="s">
        <v>1117</v>
      </c>
    </row>
    <row r="208" spans="1:11" s="131" customFormat="1">
      <c r="B208" s="83"/>
      <c r="H208" s="130">
        <f>SUM(H207)</f>
        <v>2299.9899999999998</v>
      </c>
      <c r="I208" s="191"/>
    </row>
    <row r="209" spans="1:11" s="131" customFormat="1">
      <c r="B209" s="83"/>
      <c r="H209" s="130"/>
      <c r="I209" s="192"/>
    </row>
    <row r="210" spans="1:11" ht="24">
      <c r="A210" s="119" t="s">
        <v>622</v>
      </c>
      <c r="B210" s="32" t="s">
        <v>386</v>
      </c>
      <c r="C210" s="119" t="s">
        <v>388</v>
      </c>
      <c r="D210" s="119" t="s">
        <v>387</v>
      </c>
      <c r="E210" s="32" t="s">
        <v>389</v>
      </c>
      <c r="F210" s="119" t="s">
        <v>33</v>
      </c>
      <c r="G210" s="119" t="s">
        <v>390</v>
      </c>
      <c r="H210" s="43">
        <v>11930</v>
      </c>
      <c r="I210" s="119" t="s">
        <v>192</v>
      </c>
      <c r="J210" s="119" t="s">
        <v>1070</v>
      </c>
      <c r="K210" s="33" t="s">
        <v>1117</v>
      </c>
    </row>
    <row r="211" spans="1:11">
      <c r="H211" s="125">
        <f>+H210</f>
        <v>11930</v>
      </c>
      <c r="I211" s="191"/>
    </row>
    <row r="212" spans="1:11">
      <c r="H212" s="125"/>
      <c r="I212" s="192"/>
    </row>
    <row r="213" spans="1:11" ht="27.75" customHeight="1">
      <c r="A213" s="119" t="s">
        <v>418</v>
      </c>
      <c r="B213" s="38" t="s">
        <v>419</v>
      </c>
      <c r="C213" s="119" t="s">
        <v>420</v>
      </c>
      <c r="D213" s="119" t="s">
        <v>421</v>
      </c>
      <c r="E213" s="32" t="s">
        <v>424</v>
      </c>
      <c r="F213" s="119" t="s">
        <v>33</v>
      </c>
      <c r="G213" s="119">
        <v>15190</v>
      </c>
      <c r="H213" s="43">
        <f>4775*1.15</f>
        <v>5491.25</v>
      </c>
      <c r="I213" s="119" t="s">
        <v>385</v>
      </c>
      <c r="J213" s="119" t="s">
        <v>1072</v>
      </c>
      <c r="K213" s="33" t="s">
        <v>1117</v>
      </c>
    </row>
    <row r="214" spans="1:11" ht="36">
      <c r="A214" s="119" t="s">
        <v>639</v>
      </c>
      <c r="B214" s="38" t="s">
        <v>422</v>
      </c>
      <c r="C214" s="119" t="s">
        <v>217</v>
      </c>
      <c r="D214" s="119" t="s">
        <v>423</v>
      </c>
      <c r="E214" s="119" t="s">
        <v>425</v>
      </c>
      <c r="F214" s="119" t="s">
        <v>33</v>
      </c>
      <c r="G214" s="119">
        <v>15190</v>
      </c>
      <c r="H214" s="43">
        <f>2100*1.15</f>
        <v>2415</v>
      </c>
      <c r="I214" s="119" t="s">
        <v>385</v>
      </c>
      <c r="J214" s="119" t="s">
        <v>1072</v>
      </c>
      <c r="K214" s="33" t="s">
        <v>1117</v>
      </c>
    </row>
    <row r="215" spans="1:11">
      <c r="H215" s="125">
        <f>SUM(H213:H214)</f>
        <v>7906.25</v>
      </c>
      <c r="I215" s="193"/>
    </row>
    <row r="216" spans="1:11">
      <c r="I216" s="193"/>
    </row>
    <row r="217" spans="1:11" ht="25.5" customHeight="1">
      <c r="A217" s="119" t="s">
        <v>458</v>
      </c>
      <c r="B217" s="32" t="s">
        <v>348</v>
      </c>
      <c r="C217" s="119" t="s">
        <v>460</v>
      </c>
      <c r="D217" s="119"/>
      <c r="E217" s="119" t="s">
        <v>459</v>
      </c>
      <c r="F217" s="119" t="s">
        <v>33</v>
      </c>
      <c r="G217" s="119">
        <v>15879</v>
      </c>
      <c r="H217" s="43">
        <f>3800*1.15</f>
        <v>4370</v>
      </c>
      <c r="I217" s="119" t="s">
        <v>1079</v>
      </c>
      <c r="J217" s="119" t="s">
        <v>1072</v>
      </c>
      <c r="K217" s="33" t="s">
        <v>1117</v>
      </c>
    </row>
    <row r="218" spans="1:11">
      <c r="B218" s="121" t="s">
        <v>640</v>
      </c>
      <c r="H218" s="125">
        <f>+H217</f>
        <v>4370</v>
      </c>
      <c r="I218" s="191"/>
    </row>
    <row r="219" spans="1:11">
      <c r="I219" s="192"/>
    </row>
    <row r="220" spans="1:11" ht="24">
      <c r="A220" s="136" t="s">
        <v>641</v>
      </c>
      <c r="B220" s="32" t="s">
        <v>642</v>
      </c>
      <c r="C220" s="119" t="s">
        <v>643</v>
      </c>
      <c r="D220" s="119" t="s">
        <v>644</v>
      </c>
      <c r="E220" s="32" t="s">
        <v>642</v>
      </c>
      <c r="F220" s="119" t="s">
        <v>33</v>
      </c>
      <c r="G220" s="119">
        <v>14102</v>
      </c>
      <c r="H220" s="43">
        <v>13225</v>
      </c>
      <c r="I220" s="119" t="s">
        <v>366</v>
      </c>
      <c r="J220" s="119" t="s">
        <v>605</v>
      </c>
      <c r="K220" s="33" t="s">
        <v>1110</v>
      </c>
    </row>
    <row r="221" spans="1:11">
      <c r="H221" s="129">
        <f>SUM(H220)</f>
        <v>13225</v>
      </c>
      <c r="I221" s="191"/>
    </row>
    <row r="222" spans="1:11">
      <c r="H222" s="129"/>
      <c r="I222" s="192"/>
    </row>
    <row r="223" spans="1:11" s="132" customFormat="1" ht="24.75" customHeight="1">
      <c r="A223" s="119" t="s">
        <v>844</v>
      </c>
      <c r="B223" s="38" t="s">
        <v>899</v>
      </c>
      <c r="C223" s="119" t="s">
        <v>779</v>
      </c>
      <c r="D223" s="119" t="s">
        <v>779</v>
      </c>
      <c r="E223" s="43" t="s">
        <v>845</v>
      </c>
      <c r="F223" s="119" t="s">
        <v>846</v>
      </c>
      <c r="G223" s="119" t="s">
        <v>847</v>
      </c>
      <c r="H223" s="43">
        <v>6770</v>
      </c>
      <c r="I223" s="119" t="s">
        <v>1076</v>
      </c>
      <c r="J223" s="119" t="s">
        <v>1072</v>
      </c>
      <c r="K223" s="33" t="s">
        <v>1117</v>
      </c>
    </row>
    <row r="224" spans="1:11">
      <c r="H224" s="129">
        <f>+H223</f>
        <v>6770</v>
      </c>
    </row>
    <row r="225" spans="1:11">
      <c r="H225" s="129"/>
    </row>
    <row r="226" spans="1:11" s="132" customFormat="1" ht="26.25" customHeight="1">
      <c r="A226" s="119" t="s">
        <v>1019</v>
      </c>
      <c r="B226" s="38" t="s">
        <v>1025</v>
      </c>
      <c r="C226" s="119" t="s">
        <v>345</v>
      </c>
      <c r="D226" s="119" t="s">
        <v>779</v>
      </c>
      <c r="E226" s="43" t="s">
        <v>1026</v>
      </c>
      <c r="F226" s="119" t="s">
        <v>846</v>
      </c>
      <c r="G226" s="38" t="s">
        <v>1024</v>
      </c>
      <c r="H226" s="43">
        <v>2399</v>
      </c>
      <c r="I226" s="119" t="s">
        <v>1081</v>
      </c>
      <c r="J226" s="119" t="s">
        <v>858</v>
      </c>
      <c r="K226" s="33" t="s">
        <v>1117</v>
      </c>
    </row>
    <row r="227" spans="1:11" s="132" customFormat="1" ht="25.5" customHeight="1">
      <c r="A227" s="119" t="s">
        <v>1020</v>
      </c>
      <c r="B227" s="38" t="s">
        <v>1025</v>
      </c>
      <c r="C227" s="119" t="s">
        <v>345</v>
      </c>
      <c r="D227" s="119" t="s">
        <v>779</v>
      </c>
      <c r="E227" s="43" t="s">
        <v>1026</v>
      </c>
      <c r="F227" s="119" t="s">
        <v>846</v>
      </c>
      <c r="G227" s="38" t="s">
        <v>1024</v>
      </c>
      <c r="H227" s="43">
        <v>2399</v>
      </c>
      <c r="I227" s="119" t="s">
        <v>1079</v>
      </c>
      <c r="J227" s="119" t="s">
        <v>620</v>
      </c>
      <c r="K227" s="33" t="s">
        <v>1117</v>
      </c>
    </row>
    <row r="228" spans="1:11" s="132" customFormat="1" ht="36">
      <c r="A228" s="119" t="s">
        <v>1021</v>
      </c>
      <c r="B228" s="38" t="s">
        <v>1025</v>
      </c>
      <c r="C228" s="119" t="s">
        <v>345</v>
      </c>
      <c r="D228" s="119" t="s">
        <v>779</v>
      </c>
      <c r="E228" s="43" t="s">
        <v>1026</v>
      </c>
      <c r="F228" s="119" t="s">
        <v>846</v>
      </c>
      <c r="G228" s="38" t="s">
        <v>1024</v>
      </c>
      <c r="H228" s="43">
        <v>2399</v>
      </c>
      <c r="I228" s="119" t="s">
        <v>1079</v>
      </c>
      <c r="J228" s="119" t="s">
        <v>1072</v>
      </c>
      <c r="K228" s="33" t="s">
        <v>1117</v>
      </c>
    </row>
    <row r="229" spans="1:11">
      <c r="H229" s="129">
        <f>SUM(H226:H228)</f>
        <v>7197</v>
      </c>
    </row>
    <row r="230" spans="1:11">
      <c r="H230" s="129"/>
    </row>
    <row r="231" spans="1:11" s="122" customFormat="1">
      <c r="A231" s="184" t="s">
        <v>17</v>
      </c>
      <c r="B231" s="184" t="s">
        <v>19</v>
      </c>
      <c r="C231" s="184" t="s">
        <v>20</v>
      </c>
      <c r="D231" s="184" t="s">
        <v>21</v>
      </c>
      <c r="E231" s="184" t="s">
        <v>22</v>
      </c>
      <c r="F231" s="184" t="s">
        <v>23</v>
      </c>
      <c r="G231" s="184" t="s">
        <v>24</v>
      </c>
      <c r="H231" s="195" t="s">
        <v>25</v>
      </c>
      <c r="I231" s="194" t="s">
        <v>18</v>
      </c>
      <c r="J231" s="188" t="s">
        <v>470</v>
      </c>
      <c r="K231" s="188" t="s">
        <v>1115</v>
      </c>
    </row>
    <row r="232" spans="1:11" s="122" customFormat="1">
      <c r="A232" s="185"/>
      <c r="B232" s="185"/>
      <c r="C232" s="185"/>
      <c r="D232" s="185"/>
      <c r="E232" s="185"/>
      <c r="F232" s="185"/>
      <c r="G232" s="185"/>
      <c r="H232" s="195"/>
      <c r="I232" s="194"/>
      <c r="J232" s="189"/>
      <c r="K232" s="189"/>
    </row>
    <row r="233" spans="1:11" s="132" customFormat="1" ht="27.75" customHeight="1">
      <c r="A233" s="119" t="s">
        <v>1077</v>
      </c>
      <c r="B233" s="38" t="s">
        <v>1027</v>
      </c>
      <c r="C233" s="119" t="s">
        <v>1028</v>
      </c>
      <c r="D233" s="119" t="s">
        <v>779</v>
      </c>
      <c r="E233" s="43" t="s">
        <v>1029</v>
      </c>
      <c r="F233" s="119" t="s">
        <v>846</v>
      </c>
      <c r="G233" s="119" t="s">
        <v>1030</v>
      </c>
      <c r="H233" s="43">
        <v>939.6</v>
      </c>
      <c r="I233" s="119" t="s">
        <v>385</v>
      </c>
      <c r="J233" s="119" t="s">
        <v>1072</v>
      </c>
      <c r="K233" s="33" t="s">
        <v>1117</v>
      </c>
    </row>
    <row r="234" spans="1:11" s="132" customFormat="1" ht="36">
      <c r="A234" s="119" t="s">
        <v>1078</v>
      </c>
      <c r="B234" s="38" t="s">
        <v>1031</v>
      </c>
      <c r="C234" s="119" t="s">
        <v>1028</v>
      </c>
      <c r="D234" s="119" t="s">
        <v>779</v>
      </c>
      <c r="E234" s="43" t="s">
        <v>1029</v>
      </c>
      <c r="F234" s="119" t="s">
        <v>846</v>
      </c>
      <c r="G234" s="119" t="s">
        <v>1030</v>
      </c>
      <c r="H234" s="43">
        <v>626.4</v>
      </c>
      <c r="I234" s="119" t="s">
        <v>385</v>
      </c>
      <c r="J234" s="119" t="s">
        <v>1072</v>
      </c>
      <c r="K234" s="33" t="s">
        <v>1117</v>
      </c>
    </row>
    <row r="235" spans="1:11" s="132" customFormat="1">
      <c r="A235" s="179"/>
      <c r="B235" s="228"/>
      <c r="C235" s="179"/>
      <c r="D235" s="179"/>
      <c r="E235" s="229"/>
      <c r="F235" s="179"/>
      <c r="G235" s="179"/>
      <c r="H235" s="129">
        <f>SUM(H233:H234)</f>
        <v>1566</v>
      </c>
      <c r="I235" s="179"/>
      <c r="J235" s="179"/>
      <c r="K235" s="83"/>
    </row>
    <row r="236" spans="1:11" s="132" customFormat="1">
      <c r="A236" s="179"/>
      <c r="B236" s="228"/>
      <c r="C236" s="179"/>
      <c r="D236" s="179"/>
      <c r="E236" s="229"/>
      <c r="F236" s="179"/>
      <c r="G236" s="179"/>
      <c r="H236" s="229"/>
      <c r="I236" s="179"/>
      <c r="J236" s="179"/>
      <c r="K236" s="83"/>
    </row>
    <row r="237" spans="1:11" s="122" customFormat="1">
      <c r="A237" s="184" t="s">
        <v>17</v>
      </c>
      <c r="B237" s="184" t="s">
        <v>19</v>
      </c>
      <c r="C237" s="184" t="s">
        <v>20</v>
      </c>
      <c r="D237" s="184" t="s">
        <v>21</v>
      </c>
      <c r="E237" s="184" t="s">
        <v>22</v>
      </c>
      <c r="F237" s="184" t="s">
        <v>23</v>
      </c>
      <c r="G237" s="184" t="s">
        <v>24</v>
      </c>
      <c r="H237" s="195" t="s">
        <v>25</v>
      </c>
      <c r="I237" s="194" t="s">
        <v>18</v>
      </c>
      <c r="J237" s="188" t="s">
        <v>470</v>
      </c>
      <c r="K237" s="188" t="s">
        <v>1115</v>
      </c>
    </row>
    <row r="238" spans="1:11" s="122" customFormat="1">
      <c r="A238" s="185"/>
      <c r="B238" s="185"/>
      <c r="C238" s="185"/>
      <c r="D238" s="185"/>
      <c r="E238" s="185"/>
      <c r="F238" s="185"/>
      <c r="G238" s="185"/>
      <c r="H238" s="195"/>
      <c r="I238" s="194"/>
      <c r="J238" s="189"/>
      <c r="K238" s="189"/>
    </row>
    <row r="239" spans="1:11" s="132" customFormat="1" ht="27.75" customHeight="1">
      <c r="A239" s="181" t="s">
        <v>1127</v>
      </c>
      <c r="B239" s="38" t="s">
        <v>1128</v>
      </c>
      <c r="C239" s="181" t="s">
        <v>1129</v>
      </c>
      <c r="D239" s="181">
        <v>87330</v>
      </c>
      <c r="E239" s="43" t="s">
        <v>1038</v>
      </c>
      <c r="F239" s="181" t="s">
        <v>846</v>
      </c>
      <c r="G239" s="181" t="s">
        <v>1126</v>
      </c>
      <c r="H239" s="43">
        <v>1822.74</v>
      </c>
      <c r="I239" s="181" t="s">
        <v>385</v>
      </c>
      <c r="J239" s="181" t="s">
        <v>1072</v>
      </c>
      <c r="K239" s="33" t="s">
        <v>1117</v>
      </c>
    </row>
    <row r="240" spans="1:11" s="132" customFormat="1" ht="27.75" customHeight="1">
      <c r="A240" s="181" t="s">
        <v>1130</v>
      </c>
      <c r="B240" s="38" t="s">
        <v>1128</v>
      </c>
      <c r="C240" s="181" t="s">
        <v>1129</v>
      </c>
      <c r="D240" s="181">
        <v>87330</v>
      </c>
      <c r="E240" s="43" t="s">
        <v>1038</v>
      </c>
      <c r="F240" s="181" t="s">
        <v>846</v>
      </c>
      <c r="G240" s="181" t="s">
        <v>1126</v>
      </c>
      <c r="H240" s="43">
        <f>3183.6/8</f>
        <v>397.95</v>
      </c>
      <c r="I240" s="181" t="s">
        <v>1079</v>
      </c>
      <c r="J240" s="181" t="s">
        <v>1087</v>
      </c>
      <c r="K240" s="33" t="s">
        <v>1117</v>
      </c>
    </row>
    <row r="241" spans="1:11" s="132" customFormat="1" ht="27.75" customHeight="1">
      <c r="A241" s="181" t="s">
        <v>1131</v>
      </c>
      <c r="B241" s="38" t="s">
        <v>1128</v>
      </c>
      <c r="C241" s="181" t="s">
        <v>1129</v>
      </c>
      <c r="D241" s="181">
        <v>87330</v>
      </c>
      <c r="E241" s="43" t="s">
        <v>1038</v>
      </c>
      <c r="F241" s="181" t="s">
        <v>846</v>
      </c>
      <c r="G241" s="181" t="s">
        <v>1126</v>
      </c>
      <c r="H241" s="43">
        <f t="shared" ref="H241:H247" si="2">3183.6/8</f>
        <v>397.95</v>
      </c>
      <c r="I241" s="181" t="s">
        <v>1133</v>
      </c>
      <c r="J241" s="181" t="s">
        <v>1134</v>
      </c>
      <c r="K241" s="33" t="s">
        <v>1117</v>
      </c>
    </row>
    <row r="242" spans="1:11" s="132" customFormat="1" ht="27.75" customHeight="1">
      <c r="A242" s="181" t="s">
        <v>1132</v>
      </c>
      <c r="B242" s="38" t="s">
        <v>1128</v>
      </c>
      <c r="C242" s="181" t="s">
        <v>1129</v>
      </c>
      <c r="D242" s="181">
        <v>87330</v>
      </c>
      <c r="E242" s="43" t="s">
        <v>1038</v>
      </c>
      <c r="F242" s="181" t="s">
        <v>846</v>
      </c>
      <c r="G242" s="181" t="s">
        <v>1126</v>
      </c>
      <c r="H242" s="43">
        <f t="shared" si="2"/>
        <v>397.95</v>
      </c>
      <c r="I242" s="181" t="s">
        <v>1079</v>
      </c>
      <c r="J242" s="181" t="s">
        <v>1134</v>
      </c>
      <c r="K242" s="33" t="s">
        <v>1117</v>
      </c>
    </row>
    <row r="243" spans="1:11" s="132" customFormat="1" ht="24">
      <c r="A243" s="181" t="s">
        <v>1135</v>
      </c>
      <c r="B243" s="38" t="s">
        <v>1128</v>
      </c>
      <c r="C243" s="181" t="s">
        <v>1129</v>
      </c>
      <c r="D243" s="181">
        <v>87330</v>
      </c>
      <c r="E243" s="43" t="s">
        <v>1038</v>
      </c>
      <c r="F243" s="181" t="s">
        <v>846</v>
      </c>
      <c r="G243" s="181" t="s">
        <v>1126</v>
      </c>
      <c r="H243" s="43">
        <f t="shared" si="2"/>
        <v>397.95</v>
      </c>
      <c r="I243" s="181" t="s">
        <v>1079</v>
      </c>
      <c r="J243" s="181" t="s">
        <v>1134</v>
      </c>
      <c r="K243" s="33" t="s">
        <v>1117</v>
      </c>
    </row>
    <row r="244" spans="1:11" s="132" customFormat="1" ht="24">
      <c r="A244" s="181" t="s">
        <v>1136</v>
      </c>
      <c r="B244" s="38" t="s">
        <v>1128</v>
      </c>
      <c r="C244" s="181" t="s">
        <v>1129</v>
      </c>
      <c r="D244" s="181">
        <v>87330</v>
      </c>
      <c r="E244" s="43" t="s">
        <v>1038</v>
      </c>
      <c r="F244" s="181" t="s">
        <v>846</v>
      </c>
      <c r="G244" s="181" t="s">
        <v>1126</v>
      </c>
      <c r="H244" s="43">
        <f t="shared" si="2"/>
        <v>397.95</v>
      </c>
      <c r="I244" s="181" t="s">
        <v>1079</v>
      </c>
      <c r="J244" s="181" t="s">
        <v>1134</v>
      </c>
      <c r="K244" s="33" t="s">
        <v>1117</v>
      </c>
    </row>
    <row r="245" spans="1:11" s="132" customFormat="1" ht="24">
      <c r="A245" s="181" t="s">
        <v>1137</v>
      </c>
      <c r="B245" s="38" t="s">
        <v>1128</v>
      </c>
      <c r="C245" s="181" t="s">
        <v>1129</v>
      </c>
      <c r="D245" s="181">
        <v>87330</v>
      </c>
      <c r="E245" s="43" t="s">
        <v>1038</v>
      </c>
      <c r="F245" s="181" t="s">
        <v>846</v>
      </c>
      <c r="G245" s="181" t="s">
        <v>1126</v>
      </c>
      <c r="H245" s="43">
        <f t="shared" si="2"/>
        <v>397.95</v>
      </c>
      <c r="I245" s="181" t="s">
        <v>1079</v>
      </c>
      <c r="J245" s="181" t="s">
        <v>1134</v>
      </c>
      <c r="K245" s="33" t="s">
        <v>1117</v>
      </c>
    </row>
    <row r="246" spans="1:11" s="132" customFormat="1" ht="24">
      <c r="A246" s="181" t="s">
        <v>1138</v>
      </c>
      <c r="B246" s="38" t="s">
        <v>1128</v>
      </c>
      <c r="C246" s="181" t="s">
        <v>1129</v>
      </c>
      <c r="D246" s="181">
        <v>87330</v>
      </c>
      <c r="E246" s="43" t="s">
        <v>1038</v>
      </c>
      <c r="F246" s="181" t="s">
        <v>846</v>
      </c>
      <c r="G246" s="181" t="s">
        <v>1126</v>
      </c>
      <c r="H246" s="43">
        <f t="shared" si="2"/>
        <v>397.95</v>
      </c>
      <c r="I246" s="181" t="s">
        <v>1079</v>
      </c>
      <c r="J246" s="181" t="s">
        <v>1134</v>
      </c>
      <c r="K246" s="33" t="s">
        <v>1117</v>
      </c>
    </row>
    <row r="247" spans="1:11" s="132" customFormat="1" ht="24">
      <c r="A247" s="181" t="s">
        <v>1139</v>
      </c>
      <c r="B247" s="38" t="s">
        <v>1128</v>
      </c>
      <c r="C247" s="181" t="s">
        <v>1129</v>
      </c>
      <c r="D247" s="181">
        <v>87330</v>
      </c>
      <c r="E247" s="43" t="s">
        <v>1038</v>
      </c>
      <c r="F247" s="181" t="s">
        <v>846</v>
      </c>
      <c r="G247" s="181" t="s">
        <v>1126</v>
      </c>
      <c r="H247" s="43">
        <f t="shared" si="2"/>
        <v>397.95</v>
      </c>
      <c r="I247" s="181" t="s">
        <v>1079</v>
      </c>
      <c r="J247" s="181" t="s">
        <v>1134</v>
      </c>
      <c r="K247" s="33" t="s">
        <v>1117</v>
      </c>
    </row>
    <row r="248" spans="1:11" s="132" customFormat="1">
      <c r="A248" s="179"/>
      <c r="B248" s="228"/>
      <c r="C248" s="179"/>
      <c r="D248" s="179"/>
      <c r="E248" s="229"/>
      <c r="F248" s="179"/>
      <c r="G248" s="179"/>
      <c r="H248" s="229">
        <f>SUM(H239:H247)</f>
        <v>5006.3399999999992</v>
      </c>
      <c r="I248" s="179"/>
      <c r="J248" s="179"/>
      <c r="K248" s="83"/>
    </row>
    <row r="250" spans="1:11">
      <c r="B250" s="121" t="s">
        <v>631</v>
      </c>
      <c r="C250" s="133">
        <v>86321.56</v>
      </c>
      <c r="E250" s="121" t="s">
        <v>1119</v>
      </c>
    </row>
    <row r="251" spans="1:11">
      <c r="B251" s="121" t="s">
        <v>623</v>
      </c>
      <c r="C251" s="133">
        <v>103313.7</v>
      </c>
      <c r="E251" s="121" t="s">
        <v>887</v>
      </c>
    </row>
    <row r="252" spans="1:11">
      <c r="B252" s="121" t="s">
        <v>624</v>
      </c>
      <c r="C252" s="133">
        <v>3245.02</v>
      </c>
      <c r="E252" s="121" t="s">
        <v>888</v>
      </c>
    </row>
    <row r="253" spans="1:11">
      <c r="B253" s="121" t="s">
        <v>625</v>
      </c>
      <c r="C253" s="133">
        <v>342</v>
      </c>
      <c r="E253" s="121" t="s">
        <v>889</v>
      </c>
    </row>
    <row r="254" spans="1:11">
      <c r="B254" s="121" t="s">
        <v>626</v>
      </c>
      <c r="C254" s="133">
        <v>29222.97</v>
      </c>
      <c r="E254" s="24" t="s">
        <v>890</v>
      </c>
    </row>
    <row r="255" spans="1:11">
      <c r="B255" s="121" t="s">
        <v>630</v>
      </c>
      <c r="C255" s="133">
        <v>-1</v>
      </c>
      <c r="E255" s="121" t="s">
        <v>891</v>
      </c>
    </row>
    <row r="256" spans="1:11">
      <c r="B256" s="121" t="s">
        <v>627</v>
      </c>
      <c r="C256" s="133">
        <v>25777.8</v>
      </c>
      <c r="E256" s="24" t="s">
        <v>892</v>
      </c>
    </row>
    <row r="257" spans="2:5">
      <c r="B257" s="121" t="s">
        <v>628</v>
      </c>
      <c r="C257" s="133">
        <v>2299.9899999999998</v>
      </c>
      <c r="E257" s="121" t="s">
        <v>893</v>
      </c>
    </row>
    <row r="258" spans="2:5">
      <c r="B258" s="121" t="s">
        <v>629</v>
      </c>
      <c r="C258" s="137">
        <v>11930</v>
      </c>
      <c r="E258" s="121" t="s">
        <v>894</v>
      </c>
    </row>
    <row r="259" spans="2:5">
      <c r="B259" s="121" t="s">
        <v>1023</v>
      </c>
      <c r="C259" s="137">
        <v>7197</v>
      </c>
      <c r="E259" s="121" t="s">
        <v>1024</v>
      </c>
    </row>
    <row r="260" spans="2:5">
      <c r="B260" s="121" t="s">
        <v>1022</v>
      </c>
      <c r="C260" s="137">
        <v>1566</v>
      </c>
      <c r="E260" s="121" t="s">
        <v>1032</v>
      </c>
    </row>
    <row r="261" spans="2:5">
      <c r="B261" s="121" t="s">
        <v>1125</v>
      </c>
      <c r="C261" s="137">
        <v>5006.34</v>
      </c>
      <c r="E261" s="121" t="s">
        <v>1126</v>
      </c>
    </row>
    <row r="262" spans="2:5">
      <c r="C262" s="137"/>
    </row>
    <row r="263" spans="2:5">
      <c r="B263" s="121" t="s">
        <v>632</v>
      </c>
      <c r="D263" s="133">
        <f>SUM(C250:C261)</f>
        <v>276221.38</v>
      </c>
    </row>
    <row r="264" spans="2:5">
      <c r="B264" s="121" t="s">
        <v>634</v>
      </c>
      <c r="C264" s="138">
        <v>2415</v>
      </c>
      <c r="D264" s="133"/>
    </row>
    <row r="265" spans="2:5">
      <c r="B265" s="121" t="s">
        <v>633</v>
      </c>
      <c r="C265" s="133"/>
      <c r="D265" s="133">
        <v>2415</v>
      </c>
      <c r="E265" s="121" t="s">
        <v>895</v>
      </c>
    </row>
    <row r="266" spans="2:5">
      <c r="C266" s="133"/>
      <c r="D266" s="133"/>
    </row>
    <row r="267" spans="2:5">
      <c r="B267" s="121" t="s">
        <v>635</v>
      </c>
      <c r="C267" s="138">
        <v>5491.25</v>
      </c>
      <c r="D267" s="133"/>
    </row>
    <row r="268" spans="2:5">
      <c r="B268" s="121" t="s">
        <v>422</v>
      </c>
      <c r="C268" s="133"/>
      <c r="D268" s="133">
        <v>5491.25</v>
      </c>
      <c r="E268" s="121" t="s">
        <v>895</v>
      </c>
    </row>
    <row r="269" spans="2:5">
      <c r="C269" s="133"/>
      <c r="D269" s="133"/>
    </row>
    <row r="270" spans="2:5">
      <c r="B270" s="121" t="s">
        <v>636</v>
      </c>
      <c r="C270" s="133">
        <v>4370</v>
      </c>
      <c r="D270" s="133"/>
      <c r="E270" s="121" t="s">
        <v>896</v>
      </c>
    </row>
    <row r="271" spans="2:5">
      <c r="B271" s="121" t="s">
        <v>637</v>
      </c>
      <c r="C271" s="138">
        <v>13225</v>
      </c>
      <c r="D271" s="133"/>
      <c r="E271" s="121" t="s">
        <v>897</v>
      </c>
    </row>
    <row r="272" spans="2:5">
      <c r="B272" s="121" t="s">
        <v>348</v>
      </c>
      <c r="D272" s="133">
        <v>17595</v>
      </c>
    </row>
    <row r="273" spans="2:5">
      <c r="B273" s="121" t="s">
        <v>848</v>
      </c>
      <c r="C273" s="133">
        <v>6770</v>
      </c>
      <c r="D273" s="138">
        <v>6770</v>
      </c>
      <c r="E273" s="121" t="s">
        <v>898</v>
      </c>
    </row>
    <row r="275" spans="2:5">
      <c r="B275" s="121" t="s">
        <v>638</v>
      </c>
      <c r="D275" s="125">
        <f>SUM(D258:D273)</f>
        <v>308492.63</v>
      </c>
    </row>
  </sheetData>
  <mergeCells count="140">
    <mergeCell ref="J237:J238"/>
    <mergeCell ref="K237:K238"/>
    <mergeCell ref="A237:A238"/>
    <mergeCell ref="B237:B238"/>
    <mergeCell ref="C237:C238"/>
    <mergeCell ref="D237:D238"/>
    <mergeCell ref="E237:E238"/>
    <mergeCell ref="F237:F238"/>
    <mergeCell ref="G237:G238"/>
    <mergeCell ref="H237:H238"/>
    <mergeCell ref="I237:I238"/>
    <mergeCell ref="K205:K206"/>
    <mergeCell ref="K231:K232"/>
    <mergeCell ref="K2:K3"/>
    <mergeCell ref="K51:K52"/>
    <mergeCell ref="K103:K104"/>
    <mergeCell ref="K135:K136"/>
    <mergeCell ref="K144:K145"/>
    <mergeCell ref="K161:K162"/>
    <mergeCell ref="K165:K166"/>
    <mergeCell ref="K185:K186"/>
    <mergeCell ref="K190:K191"/>
    <mergeCell ref="I205:I206"/>
    <mergeCell ref="B205:B206"/>
    <mergeCell ref="C205:C206"/>
    <mergeCell ref="D205:D206"/>
    <mergeCell ref="E205:E206"/>
    <mergeCell ref="F205:F206"/>
    <mergeCell ref="G205:G206"/>
    <mergeCell ref="H205:H206"/>
    <mergeCell ref="I190:I191"/>
    <mergeCell ref="F190:F191"/>
    <mergeCell ref="G190:G191"/>
    <mergeCell ref="H190:H191"/>
    <mergeCell ref="J231:J232"/>
    <mergeCell ref="A231:A232"/>
    <mergeCell ref="B231:B232"/>
    <mergeCell ref="C231:C232"/>
    <mergeCell ref="D231:D232"/>
    <mergeCell ref="E231:E232"/>
    <mergeCell ref="F231:F232"/>
    <mergeCell ref="G231:G232"/>
    <mergeCell ref="H231:H232"/>
    <mergeCell ref="I231:I232"/>
    <mergeCell ref="A205:A206"/>
    <mergeCell ref="I218:I219"/>
    <mergeCell ref="I221:I222"/>
    <mergeCell ref="A190:A191"/>
    <mergeCell ref="B190:B191"/>
    <mergeCell ref="J190:J191"/>
    <mergeCell ref="J185:J186"/>
    <mergeCell ref="J135:J136"/>
    <mergeCell ref="J165:J166"/>
    <mergeCell ref="I180:I181"/>
    <mergeCell ref="J161:J162"/>
    <mergeCell ref="C190:C191"/>
    <mergeCell ref="D190:D191"/>
    <mergeCell ref="E190:E191"/>
    <mergeCell ref="I183:I184"/>
    <mergeCell ref="I185:I186"/>
    <mergeCell ref="I208:I209"/>
    <mergeCell ref="B185:B186"/>
    <mergeCell ref="C185:C186"/>
    <mergeCell ref="D185:D186"/>
    <mergeCell ref="E185:E186"/>
    <mergeCell ref="F185:F186"/>
    <mergeCell ref="G185:G186"/>
    <mergeCell ref="H185:H186"/>
    <mergeCell ref="I2:I3"/>
    <mergeCell ref="G51:G52"/>
    <mergeCell ref="H51:H52"/>
    <mergeCell ref="I51:I52"/>
    <mergeCell ref="J51:J52"/>
    <mergeCell ref="H103:H104"/>
    <mergeCell ref="I211:I212"/>
    <mergeCell ref="I215:I216"/>
    <mergeCell ref="A185:A186"/>
    <mergeCell ref="A51:A52"/>
    <mergeCell ref="B51:B52"/>
    <mergeCell ref="C51:C52"/>
    <mergeCell ref="D51:D52"/>
    <mergeCell ref="E51:E52"/>
    <mergeCell ref="A103:A104"/>
    <mergeCell ref="B103:B104"/>
    <mergeCell ref="C103:C104"/>
    <mergeCell ref="D103:D104"/>
    <mergeCell ref="E103:E104"/>
    <mergeCell ref="A135:A136"/>
    <mergeCell ref="B135:B136"/>
    <mergeCell ref="I135:I136"/>
    <mergeCell ref="I165:I166"/>
    <mergeCell ref="I161:I162"/>
    <mergeCell ref="J2:J3"/>
    <mergeCell ref="I103:I104"/>
    <mergeCell ref="J103:J104"/>
    <mergeCell ref="F51:F52"/>
    <mergeCell ref="J205:J206"/>
    <mergeCell ref="C135:C136"/>
    <mergeCell ref="D135:D136"/>
    <mergeCell ref="E135:E136"/>
    <mergeCell ref="A165:A166"/>
    <mergeCell ref="B165:B166"/>
    <mergeCell ref="A144:A145"/>
    <mergeCell ref="J144:J145"/>
    <mergeCell ref="I144:I145"/>
    <mergeCell ref="C165:C166"/>
    <mergeCell ref="D165:D166"/>
    <mergeCell ref="E165:E166"/>
    <mergeCell ref="B144:B145"/>
    <mergeCell ref="C144:C145"/>
    <mergeCell ref="D144:D145"/>
    <mergeCell ref="E144:E145"/>
    <mergeCell ref="B161:B162"/>
    <mergeCell ref="C161:C162"/>
    <mergeCell ref="D161:D162"/>
    <mergeCell ref="E161:E162"/>
    <mergeCell ref="A1:F1"/>
    <mergeCell ref="F165:F166"/>
    <mergeCell ref="G165:G166"/>
    <mergeCell ref="H165:H166"/>
    <mergeCell ref="F135:F136"/>
    <mergeCell ref="G135:G136"/>
    <mergeCell ref="H135:H136"/>
    <mergeCell ref="F161:F162"/>
    <mergeCell ref="G161:G162"/>
    <mergeCell ref="H161:H162"/>
    <mergeCell ref="F144:F145"/>
    <mergeCell ref="G144:G145"/>
    <mergeCell ref="H144:H145"/>
    <mergeCell ref="F103:F104"/>
    <mergeCell ref="G103:G104"/>
    <mergeCell ref="A2:A3"/>
    <mergeCell ref="H2:H3"/>
    <mergeCell ref="B2:B3"/>
    <mergeCell ref="D2:D3"/>
    <mergeCell ref="E2:E3"/>
    <mergeCell ref="F2:F3"/>
    <mergeCell ref="G2:G3"/>
    <mergeCell ref="C2:C3"/>
    <mergeCell ref="A161:A162"/>
  </mergeCells>
  <pageMargins left="1.1023622047244095" right="0.70866141732283472" top="0.6692913385826772" bottom="0.86614173228346458" header="0.31496062992125984" footer="0.6692913385826772"/>
  <pageSetup paperSize="9" scale="65" orientation="landscape" r:id="rId1"/>
  <headerFooter>
    <oddHeader>&amp;CFIDEICOMISO FONDO DE AYUDA, ASISTENCIA Y REPARACIÓN DE DAÑO A LAS VÍCTIMAS Y OFENDIDOS, PARA EL ESTADO DE TLAXCALA
&amp;"-,Negrita"RELACIÓN DE INVENTARIOS</oddHeader>
    <oddFooter>Página &amp;P</oddFooter>
  </headerFooter>
</worksheet>
</file>

<file path=xl/worksheets/sheet3.xml><?xml version="1.0" encoding="utf-8"?>
<worksheet xmlns="http://schemas.openxmlformats.org/spreadsheetml/2006/main" xmlns:r="http://schemas.openxmlformats.org/officeDocument/2006/relationships">
  <sheetPr>
    <tabColor theme="5" tint="-0.499984740745262"/>
  </sheetPr>
  <dimension ref="A1:U16"/>
  <sheetViews>
    <sheetView workbookViewId="0">
      <selection activeCell="G8" sqref="G8"/>
    </sheetView>
  </sheetViews>
  <sheetFormatPr baseColWidth="10" defaultRowHeight="15"/>
  <cols>
    <col min="1" max="1" width="10.5703125" style="26" customWidth="1"/>
    <col min="2" max="2" width="17.42578125" style="26" customWidth="1"/>
    <col min="3" max="3" width="12.140625" style="26" bestFit="1" customWidth="1"/>
    <col min="4" max="4" width="9.140625" style="26" bestFit="1" customWidth="1"/>
    <col min="5" max="5" width="22.5703125" style="26" customWidth="1"/>
    <col min="6" max="8" width="11.42578125" style="26"/>
    <col min="9" max="9" width="15.5703125" style="26" customWidth="1"/>
    <col min="10" max="10" width="11.42578125" style="26"/>
    <col min="11" max="11" width="14.42578125" style="26" customWidth="1"/>
    <col min="12" max="16384" width="11.42578125" style="26"/>
  </cols>
  <sheetData>
    <row r="1" spans="1:21" ht="15.75">
      <c r="A1" s="196" t="s">
        <v>462</v>
      </c>
      <c r="B1" s="196"/>
      <c r="C1" s="196"/>
      <c r="D1" s="196"/>
      <c r="E1" s="196"/>
      <c r="F1" s="196"/>
    </row>
    <row r="3" spans="1:21" s="8" customFormat="1" ht="12">
      <c r="A3" s="184" t="s">
        <v>17</v>
      </c>
      <c r="B3" s="184" t="s">
        <v>19</v>
      </c>
      <c r="C3" s="184" t="s">
        <v>20</v>
      </c>
      <c r="D3" s="184" t="s">
        <v>21</v>
      </c>
      <c r="E3" s="184" t="s">
        <v>22</v>
      </c>
      <c r="F3" s="184" t="s">
        <v>23</v>
      </c>
      <c r="G3" s="184" t="s">
        <v>24</v>
      </c>
      <c r="H3" s="186" t="s">
        <v>25</v>
      </c>
      <c r="I3" s="186" t="s">
        <v>18</v>
      </c>
      <c r="J3" s="188" t="s">
        <v>470</v>
      </c>
      <c r="K3" s="188" t="s">
        <v>1115</v>
      </c>
    </row>
    <row r="4" spans="1:21" s="8" customFormat="1" ht="12">
      <c r="A4" s="185"/>
      <c r="B4" s="185"/>
      <c r="C4" s="185"/>
      <c r="D4" s="185"/>
      <c r="E4" s="185"/>
      <c r="F4" s="185"/>
      <c r="G4" s="185"/>
      <c r="H4" s="187"/>
      <c r="I4" s="187"/>
      <c r="J4" s="189"/>
      <c r="K4" s="189"/>
    </row>
    <row r="5" spans="1:21" s="8" customFormat="1" ht="120">
      <c r="A5" s="102" t="s">
        <v>862</v>
      </c>
      <c r="B5" s="102" t="s">
        <v>404</v>
      </c>
      <c r="C5" s="32" t="s">
        <v>405</v>
      </c>
      <c r="D5" s="110">
        <v>2004</v>
      </c>
      <c r="E5" s="104" t="s">
        <v>646</v>
      </c>
      <c r="F5" s="103" t="s">
        <v>33</v>
      </c>
      <c r="G5" s="32">
        <v>10261</v>
      </c>
      <c r="H5" s="109">
        <v>76990</v>
      </c>
      <c r="I5" s="37" t="s">
        <v>1099</v>
      </c>
      <c r="J5" s="58" t="s">
        <v>1085</v>
      </c>
      <c r="K5" s="33" t="s">
        <v>1117</v>
      </c>
      <c r="L5" s="24"/>
      <c r="M5" s="24"/>
      <c r="N5" s="24"/>
      <c r="O5" s="24"/>
      <c r="P5" s="44"/>
      <c r="Q5" s="9"/>
      <c r="R5" s="9"/>
      <c r="S5" s="9"/>
      <c r="T5" s="9"/>
      <c r="U5" s="9"/>
    </row>
    <row r="6" spans="1:21" s="3" customFormat="1" ht="12"/>
    <row r="7" spans="1:21" s="3" customFormat="1" ht="12"/>
    <row r="8" spans="1:21" s="36" customFormat="1" ht="12">
      <c r="A8" s="3" t="s">
        <v>722</v>
      </c>
      <c r="C8" s="66"/>
      <c r="D8" s="66"/>
      <c r="E8" s="3"/>
      <c r="F8" s="66">
        <v>229565.22</v>
      </c>
      <c r="G8" s="139" t="s">
        <v>1119</v>
      </c>
      <c r="H8" s="3"/>
      <c r="I8" s="3"/>
      <c r="J8" s="3"/>
      <c r="K8" s="3"/>
    </row>
    <row r="9" spans="1:21" s="36" customFormat="1" ht="12">
      <c r="A9" s="3" t="s">
        <v>990</v>
      </c>
      <c r="C9" s="66"/>
      <c r="D9" s="66"/>
      <c r="E9" s="3"/>
      <c r="F9" s="66">
        <v>-229564.22</v>
      </c>
      <c r="G9" s="3"/>
      <c r="H9" s="3"/>
      <c r="I9" s="3"/>
      <c r="J9" s="3"/>
      <c r="K9" s="3"/>
    </row>
    <row r="10" spans="1:21" s="36" customFormat="1" ht="12">
      <c r="A10" s="3" t="s">
        <v>997</v>
      </c>
      <c r="C10" s="3"/>
      <c r="D10" s="3"/>
      <c r="E10" s="3"/>
      <c r="F10" s="108">
        <v>76550</v>
      </c>
      <c r="G10" s="3" t="s">
        <v>998</v>
      </c>
      <c r="H10" s="3"/>
      <c r="I10" s="3"/>
      <c r="J10" s="3"/>
      <c r="K10" s="3"/>
    </row>
    <row r="11" spans="1:21" s="36" customFormat="1" ht="12">
      <c r="A11" s="3" t="s">
        <v>999</v>
      </c>
      <c r="C11" s="3"/>
      <c r="D11" s="3"/>
      <c r="E11" s="3"/>
      <c r="F11" s="108">
        <v>440</v>
      </c>
      <c r="G11" s="3" t="s">
        <v>998</v>
      </c>
      <c r="H11" s="3"/>
      <c r="I11" s="3"/>
      <c r="J11" s="3"/>
      <c r="K11" s="3"/>
    </row>
    <row r="12" spans="1:21" s="36" customFormat="1" ht="12">
      <c r="A12" s="3" t="s">
        <v>1000</v>
      </c>
      <c r="C12" s="3"/>
      <c r="D12" s="3"/>
      <c r="E12" s="3"/>
      <c r="F12" s="67">
        <v>229564.22</v>
      </c>
      <c r="G12" s="3" t="s">
        <v>1001</v>
      </c>
      <c r="H12" s="3"/>
      <c r="I12" s="3"/>
      <c r="J12" s="3"/>
      <c r="K12" s="3"/>
    </row>
    <row r="13" spans="1:21" s="36" customFormat="1" ht="12">
      <c r="A13" s="105" t="s">
        <v>647</v>
      </c>
      <c r="B13" s="3"/>
      <c r="C13" s="3"/>
      <c r="D13" s="3"/>
      <c r="E13" s="3"/>
      <c r="F13" s="59">
        <f>SUM(F8:F12)</f>
        <v>306555.21999999997</v>
      </c>
      <c r="G13" s="3"/>
      <c r="H13" s="3"/>
      <c r="I13" s="3"/>
      <c r="J13" s="3"/>
      <c r="K13" s="3"/>
    </row>
    <row r="14" spans="1:21" s="36" customFormat="1" ht="12">
      <c r="B14" s="34"/>
      <c r="C14" s="34"/>
      <c r="D14" s="34"/>
      <c r="E14" s="34"/>
      <c r="F14" s="34"/>
      <c r="G14" s="34"/>
      <c r="H14" s="34"/>
      <c r="I14" s="34"/>
      <c r="J14" s="34"/>
      <c r="K14" s="34"/>
      <c r="L14" s="34"/>
    </row>
    <row r="15" spans="1:21" s="3" customFormat="1" ht="12"/>
    <row r="16" spans="1:21" s="3" customFormat="1" ht="12"/>
  </sheetData>
  <mergeCells count="12">
    <mergeCell ref="K3:K4"/>
    <mergeCell ref="A1:F1"/>
    <mergeCell ref="A3:A4"/>
    <mergeCell ref="I3:I4"/>
    <mergeCell ref="J3:J4"/>
    <mergeCell ref="H3:H4"/>
    <mergeCell ref="B3:B4"/>
    <mergeCell ref="C3:C4"/>
    <mergeCell ref="D3:D4"/>
    <mergeCell ref="E3:E4"/>
    <mergeCell ref="F3:F4"/>
    <mergeCell ref="G3:G4"/>
  </mergeCells>
  <pageMargins left="1.6535433070866143" right="0.70866141732283472" top="0.74803149606299213" bottom="0.74803149606299213" header="0.31496062992125984" footer="0.31496062992125984"/>
  <pageSetup paperSize="9" scale="75" orientation="landscape" r:id="rId1"/>
  <headerFooter>
    <oddHeader>&amp;CFIDEICOMISO FONDO DE AYUDA, ASISTENCIA Y REPARACIÓN DE DAÑO A LAS VÍCTIMAS Y OFENDIDOS
RELACIÓN DE INVENTARIOS</oddHeader>
    <oddFooter>&amp;C&amp;P</oddFooter>
  </headerFooter>
</worksheet>
</file>

<file path=xl/worksheets/sheet4.xml><?xml version="1.0" encoding="utf-8"?>
<worksheet xmlns="http://schemas.openxmlformats.org/spreadsheetml/2006/main" xmlns:r="http://schemas.openxmlformats.org/officeDocument/2006/relationships">
  <sheetPr>
    <tabColor theme="5" tint="-0.499984740745262"/>
  </sheetPr>
  <dimension ref="A1:K115"/>
  <sheetViews>
    <sheetView view="pageLayout" topLeftCell="A88" zoomScale="90" zoomScaleNormal="100" zoomScalePageLayoutView="90" workbookViewId="0">
      <selection activeCell="E95" sqref="E95"/>
    </sheetView>
  </sheetViews>
  <sheetFormatPr baseColWidth="10" defaultRowHeight="11.25"/>
  <cols>
    <col min="1" max="1" width="16.140625" style="11" customWidth="1"/>
    <col min="2" max="2" width="40" style="2" customWidth="1"/>
    <col min="3" max="3" width="12.5703125" style="2" customWidth="1"/>
    <col min="4" max="4" width="15.5703125" style="2" customWidth="1"/>
    <col min="5" max="5" width="18.42578125" style="2" customWidth="1"/>
    <col min="6" max="6" width="11.42578125" style="2"/>
    <col min="7" max="7" width="11" style="2" customWidth="1"/>
    <col min="8" max="8" width="13.28515625" style="2" customWidth="1"/>
    <col min="9" max="9" width="14.140625" style="11" customWidth="1"/>
    <col min="10" max="10" width="18.5703125" style="2" customWidth="1"/>
    <col min="11" max="11" width="14.28515625" style="2" customWidth="1"/>
    <col min="12" max="16384" width="11.42578125" style="2"/>
  </cols>
  <sheetData>
    <row r="1" spans="1:11" ht="23.25" customHeight="1">
      <c r="A1" s="86" t="s">
        <v>15</v>
      </c>
    </row>
    <row r="2" spans="1:11" s="15" customFormat="1">
      <c r="A2" s="140" t="s">
        <v>17</v>
      </c>
      <c r="B2" s="197" t="s">
        <v>19</v>
      </c>
      <c r="C2" s="197" t="s">
        <v>20</v>
      </c>
      <c r="D2" s="197" t="s">
        <v>21</v>
      </c>
      <c r="E2" s="197" t="s">
        <v>22</v>
      </c>
      <c r="F2" s="197" t="s">
        <v>23</v>
      </c>
      <c r="G2" s="197" t="s">
        <v>24</v>
      </c>
      <c r="H2" s="198" t="s">
        <v>25</v>
      </c>
      <c r="I2" s="198" t="s">
        <v>187</v>
      </c>
      <c r="J2" s="199" t="s">
        <v>470</v>
      </c>
      <c r="K2" s="188" t="s">
        <v>1115</v>
      </c>
    </row>
    <row r="3" spans="1:11" s="15" customFormat="1">
      <c r="A3" s="140" t="s">
        <v>26</v>
      </c>
      <c r="B3" s="197"/>
      <c r="C3" s="197"/>
      <c r="D3" s="197"/>
      <c r="E3" s="197"/>
      <c r="F3" s="197"/>
      <c r="G3" s="197"/>
      <c r="H3" s="198"/>
      <c r="I3" s="198"/>
      <c r="J3" s="200"/>
      <c r="K3" s="189"/>
    </row>
    <row r="4" spans="1:11" s="5" customFormat="1" ht="22.5">
      <c r="A4" s="45" t="s">
        <v>80</v>
      </c>
      <c r="B4" s="120" t="s">
        <v>651</v>
      </c>
      <c r="C4" s="46" t="s">
        <v>81</v>
      </c>
      <c r="D4" s="47"/>
      <c r="E4" s="46" t="s">
        <v>652</v>
      </c>
      <c r="F4" s="45" t="s">
        <v>33</v>
      </c>
      <c r="G4" s="45" t="s">
        <v>190</v>
      </c>
      <c r="H4" s="48">
        <v>2023.5</v>
      </c>
      <c r="I4" s="35" t="s">
        <v>385</v>
      </c>
      <c r="J4" s="35" t="s">
        <v>1072</v>
      </c>
      <c r="K4" s="33" t="s">
        <v>1117</v>
      </c>
    </row>
    <row r="5" spans="1:11" s="5" customFormat="1" ht="22.5">
      <c r="A5" s="45" t="s">
        <v>82</v>
      </c>
      <c r="B5" s="120" t="s">
        <v>83</v>
      </c>
      <c r="C5" s="46" t="s">
        <v>81</v>
      </c>
      <c r="D5" s="47"/>
      <c r="E5" s="46" t="s">
        <v>653</v>
      </c>
      <c r="F5" s="45" t="s">
        <v>33</v>
      </c>
      <c r="G5" s="45" t="s">
        <v>190</v>
      </c>
      <c r="H5" s="48">
        <v>3213.64</v>
      </c>
      <c r="I5" s="35" t="s">
        <v>385</v>
      </c>
      <c r="J5" s="35" t="s">
        <v>1072</v>
      </c>
      <c r="K5" s="33" t="s">
        <v>1117</v>
      </c>
    </row>
    <row r="6" spans="1:11" s="10" customFormat="1" ht="138.75" customHeight="1">
      <c r="A6" s="45" t="s">
        <v>744</v>
      </c>
      <c r="B6" s="120" t="s">
        <v>188</v>
      </c>
      <c r="C6" s="46" t="s">
        <v>189</v>
      </c>
      <c r="D6" s="47"/>
      <c r="E6" s="46"/>
      <c r="F6" s="45"/>
      <c r="G6" s="45" t="s">
        <v>190</v>
      </c>
      <c r="H6" s="48">
        <f>6234.736*1.15</f>
        <v>7169.9463999999989</v>
      </c>
      <c r="I6" s="35" t="s">
        <v>1056</v>
      </c>
      <c r="J6" s="35" t="s">
        <v>1043</v>
      </c>
      <c r="K6" s="33" t="s">
        <v>1117</v>
      </c>
    </row>
    <row r="7" spans="1:11" s="10" customFormat="1">
      <c r="A7" s="18"/>
      <c r="B7" s="19"/>
      <c r="C7" s="19"/>
      <c r="D7" s="19"/>
      <c r="E7" s="19"/>
      <c r="F7" s="19"/>
      <c r="G7" s="19"/>
      <c r="H7" s="20">
        <f>SUM(H4:H6)</f>
        <v>12407.086399999998</v>
      </c>
      <c r="I7" s="18"/>
      <c r="J7" s="6"/>
    </row>
    <row r="8" spans="1:11" s="10" customFormat="1">
      <c r="A8" s="18"/>
      <c r="B8" s="19"/>
      <c r="C8" s="19"/>
      <c r="D8" s="19"/>
      <c r="E8" s="19"/>
      <c r="F8" s="19"/>
      <c r="G8" s="19"/>
      <c r="H8" s="20"/>
      <c r="I8" s="18"/>
      <c r="J8" s="6"/>
    </row>
    <row r="9" spans="1:11" s="4" customFormat="1" ht="33.75">
      <c r="A9" s="45" t="s">
        <v>87</v>
      </c>
      <c r="B9" s="45" t="s">
        <v>198</v>
      </c>
      <c r="C9" s="46" t="s">
        <v>88</v>
      </c>
      <c r="D9" s="49" t="s">
        <v>89</v>
      </c>
      <c r="E9" s="49" t="s">
        <v>90</v>
      </c>
      <c r="F9" s="45" t="s">
        <v>54</v>
      </c>
      <c r="G9" s="50" t="s">
        <v>200</v>
      </c>
      <c r="H9" s="48">
        <v>4181.2299999999996</v>
      </c>
      <c r="I9" s="120" t="s">
        <v>1069</v>
      </c>
      <c r="J9" s="35" t="s">
        <v>1043</v>
      </c>
      <c r="K9" s="33" t="s">
        <v>1117</v>
      </c>
    </row>
    <row r="10" spans="1:11" ht="24.75" customHeight="1">
      <c r="A10" s="45" t="s">
        <v>654</v>
      </c>
      <c r="B10" s="51" t="s">
        <v>199</v>
      </c>
      <c r="C10" s="46" t="s">
        <v>859</v>
      </c>
      <c r="D10" s="49"/>
      <c r="E10" s="49" t="s">
        <v>371</v>
      </c>
      <c r="F10" s="45" t="s">
        <v>54</v>
      </c>
      <c r="G10" s="50" t="s">
        <v>200</v>
      </c>
      <c r="H10" s="48">
        <f>888.41*1.15</f>
        <v>1021.6714999999999</v>
      </c>
      <c r="I10" s="120" t="s">
        <v>1091</v>
      </c>
      <c r="J10" s="120" t="s">
        <v>503</v>
      </c>
      <c r="K10" s="118" t="s">
        <v>1116</v>
      </c>
    </row>
    <row r="11" spans="1:11" ht="27.75" customHeight="1">
      <c r="A11" s="45" t="s">
        <v>655</v>
      </c>
      <c r="B11" s="51" t="s">
        <v>201</v>
      </c>
      <c r="C11" s="46" t="s">
        <v>86</v>
      </c>
      <c r="D11" s="49" t="s">
        <v>202</v>
      </c>
      <c r="E11" s="49" t="s">
        <v>656</v>
      </c>
      <c r="F11" s="45"/>
      <c r="G11" s="50" t="s">
        <v>200</v>
      </c>
      <c r="H11" s="48">
        <f>2717.75*1.15</f>
        <v>3125.4124999999999</v>
      </c>
      <c r="I11" s="120" t="s">
        <v>1069</v>
      </c>
      <c r="J11" s="35" t="s">
        <v>1043</v>
      </c>
      <c r="K11" s="33" t="s">
        <v>1117</v>
      </c>
    </row>
    <row r="12" spans="1:11" ht="25.5" customHeight="1">
      <c r="A12" s="45"/>
      <c r="B12" s="141" t="s">
        <v>203</v>
      </c>
      <c r="C12" s="46"/>
      <c r="D12" s="49" t="s">
        <v>204</v>
      </c>
      <c r="E12" s="49"/>
      <c r="F12" s="45"/>
      <c r="G12" s="50" t="s">
        <v>200</v>
      </c>
      <c r="H12" s="48">
        <f>1980.135*1.15</f>
        <v>2277.1552499999998</v>
      </c>
      <c r="I12" s="120" t="s">
        <v>1106</v>
      </c>
      <c r="J12" s="120"/>
      <c r="K12" s="118" t="s">
        <v>1118</v>
      </c>
    </row>
    <row r="13" spans="1:11" ht="22.5">
      <c r="A13" s="45" t="s">
        <v>84</v>
      </c>
      <c r="B13" s="51" t="s">
        <v>657</v>
      </c>
      <c r="C13" s="46"/>
      <c r="D13" s="49" t="s">
        <v>85</v>
      </c>
      <c r="E13" s="49"/>
      <c r="F13" s="45" t="s">
        <v>184</v>
      </c>
      <c r="G13" s="50" t="s">
        <v>200</v>
      </c>
      <c r="H13" s="48">
        <v>1207.72</v>
      </c>
      <c r="I13" s="120" t="s">
        <v>1046</v>
      </c>
      <c r="J13" s="35" t="s">
        <v>1043</v>
      </c>
      <c r="K13" s="33" t="s">
        <v>1117</v>
      </c>
    </row>
    <row r="14" spans="1:11" ht="22.5">
      <c r="A14" s="45" t="s">
        <v>658</v>
      </c>
      <c r="B14" s="51" t="s">
        <v>657</v>
      </c>
      <c r="C14" s="46"/>
      <c r="D14" s="49" t="s">
        <v>85</v>
      </c>
      <c r="E14" s="49"/>
      <c r="F14" s="45" t="s">
        <v>184</v>
      </c>
      <c r="G14" s="50" t="s">
        <v>200</v>
      </c>
      <c r="H14" s="48">
        <v>1207.72</v>
      </c>
      <c r="I14" s="120" t="s">
        <v>1046</v>
      </c>
      <c r="J14" s="35" t="s">
        <v>1043</v>
      </c>
      <c r="K14" s="33" t="s">
        <v>1117</v>
      </c>
    </row>
    <row r="15" spans="1:11" ht="25.5" customHeight="1">
      <c r="A15" s="45" t="s">
        <v>659</v>
      </c>
      <c r="B15" s="51" t="s">
        <v>657</v>
      </c>
      <c r="C15" s="46"/>
      <c r="D15" s="49" t="s">
        <v>85</v>
      </c>
      <c r="E15" s="49"/>
      <c r="F15" s="45" t="s">
        <v>54</v>
      </c>
      <c r="G15" s="50" t="s">
        <v>200</v>
      </c>
      <c r="H15" s="48">
        <v>1207.72</v>
      </c>
      <c r="I15" s="120" t="s">
        <v>385</v>
      </c>
      <c r="J15" s="120" t="s">
        <v>1072</v>
      </c>
      <c r="K15" s="33" t="s">
        <v>1117</v>
      </c>
    </row>
    <row r="16" spans="1:11" ht="22.5">
      <c r="A16" s="45" t="s">
        <v>660</v>
      </c>
      <c r="B16" s="51" t="s">
        <v>657</v>
      </c>
      <c r="C16" s="46"/>
      <c r="D16" s="49" t="s">
        <v>85</v>
      </c>
      <c r="E16" s="49"/>
      <c r="F16" s="45" t="s">
        <v>54</v>
      </c>
      <c r="G16" s="50" t="s">
        <v>200</v>
      </c>
      <c r="H16" s="48">
        <v>1207.71</v>
      </c>
      <c r="I16" s="120" t="s">
        <v>385</v>
      </c>
      <c r="J16" s="120" t="s">
        <v>1072</v>
      </c>
      <c r="K16" s="33" t="s">
        <v>1117</v>
      </c>
    </row>
    <row r="17" spans="1:11">
      <c r="H17" s="85">
        <f>SUM(H9:H16)</f>
        <v>15436.339249999997</v>
      </c>
      <c r="K17" s="12"/>
    </row>
    <row r="18" spans="1:11">
      <c r="H18" s="85"/>
      <c r="K18" s="12"/>
    </row>
    <row r="19" spans="1:11" s="5" customFormat="1" ht="25.5" customHeight="1">
      <c r="A19" s="45" t="s">
        <v>97</v>
      </c>
      <c r="B19" s="51" t="s">
        <v>222</v>
      </c>
      <c r="C19" s="46" t="s">
        <v>95</v>
      </c>
      <c r="D19" s="49" t="s">
        <v>98</v>
      </c>
      <c r="E19" s="49" t="s">
        <v>96</v>
      </c>
      <c r="F19" s="45" t="s">
        <v>33</v>
      </c>
      <c r="G19" s="45">
        <v>88</v>
      </c>
      <c r="H19" s="48">
        <v>3391.29</v>
      </c>
      <c r="I19" s="120" t="s">
        <v>1079</v>
      </c>
      <c r="J19" s="120" t="s">
        <v>620</v>
      </c>
      <c r="K19" s="33" t="s">
        <v>1117</v>
      </c>
    </row>
    <row r="20" spans="1:11" s="6" customFormat="1">
      <c r="A20" s="90"/>
      <c r="B20" s="18"/>
      <c r="C20" s="91"/>
      <c r="D20" s="92"/>
      <c r="E20" s="92"/>
      <c r="F20" s="90"/>
      <c r="G20" s="90"/>
      <c r="H20" s="94">
        <f>+H19</f>
        <v>3391.29</v>
      </c>
      <c r="I20" s="93"/>
      <c r="J20" s="93"/>
    </row>
    <row r="21" spans="1:11" s="6" customFormat="1">
      <c r="A21" s="95"/>
      <c r="B21" s="96"/>
      <c r="C21" s="97"/>
      <c r="D21" s="98"/>
      <c r="E21" s="98"/>
      <c r="F21" s="95"/>
      <c r="G21" s="95"/>
      <c r="H21" s="85"/>
      <c r="I21" s="99"/>
      <c r="J21" s="93"/>
    </row>
    <row r="22" spans="1:11" s="5" customFormat="1" ht="24">
      <c r="A22" s="45" t="s">
        <v>708</v>
      </c>
      <c r="B22" s="51" t="s">
        <v>223</v>
      </c>
      <c r="C22" s="46" t="s">
        <v>88</v>
      </c>
      <c r="D22" s="49" t="s">
        <v>224</v>
      </c>
      <c r="E22" s="49"/>
      <c r="F22" s="45" t="s">
        <v>33</v>
      </c>
      <c r="G22" s="45">
        <v>1850</v>
      </c>
      <c r="H22" s="48">
        <v>313.87</v>
      </c>
      <c r="I22" s="120" t="s">
        <v>1091</v>
      </c>
      <c r="J22" s="35" t="s">
        <v>1043</v>
      </c>
      <c r="K22" s="118" t="s">
        <v>1116</v>
      </c>
    </row>
    <row r="23" spans="1:11">
      <c r="H23" s="85">
        <f>+H22</f>
        <v>313.87</v>
      </c>
    </row>
    <row r="25" spans="1:11" s="5" customFormat="1" ht="31.5" customHeight="1">
      <c r="A25" s="45" t="s">
        <v>666</v>
      </c>
      <c r="B25" s="51" t="s">
        <v>667</v>
      </c>
      <c r="C25" s="46" t="s">
        <v>86</v>
      </c>
      <c r="D25" s="49" t="s">
        <v>668</v>
      </c>
      <c r="E25" s="49" t="s">
        <v>669</v>
      </c>
      <c r="F25" s="45" t="s">
        <v>184</v>
      </c>
      <c r="G25" s="45">
        <v>12854</v>
      </c>
      <c r="H25" s="48">
        <v>0</v>
      </c>
      <c r="I25" s="120" t="s">
        <v>1046</v>
      </c>
      <c r="J25" s="35" t="s">
        <v>1043</v>
      </c>
      <c r="K25" s="33" t="s">
        <v>1117</v>
      </c>
    </row>
    <row r="26" spans="1:11" s="5" customFormat="1" ht="22.5">
      <c r="A26" s="45" t="s">
        <v>670</v>
      </c>
      <c r="B26" s="51" t="s">
        <v>436</v>
      </c>
      <c r="C26" s="46" t="s">
        <v>86</v>
      </c>
      <c r="D26" s="49" t="s">
        <v>668</v>
      </c>
      <c r="E26" s="49" t="s">
        <v>669</v>
      </c>
      <c r="F26" s="45" t="s">
        <v>184</v>
      </c>
      <c r="G26" s="45">
        <v>12854</v>
      </c>
      <c r="H26" s="48">
        <v>0</v>
      </c>
      <c r="I26" s="120" t="s">
        <v>192</v>
      </c>
      <c r="J26" s="35" t="s">
        <v>1043</v>
      </c>
      <c r="K26" s="33" t="s">
        <v>1117</v>
      </c>
    </row>
    <row r="27" spans="1:11" s="5" customFormat="1" ht="23.25" customHeight="1">
      <c r="A27" s="45" t="s">
        <v>671</v>
      </c>
      <c r="B27" s="51" t="s">
        <v>427</v>
      </c>
      <c r="C27" s="46" t="s">
        <v>86</v>
      </c>
      <c r="D27" s="49" t="s">
        <v>672</v>
      </c>
      <c r="E27" s="49" t="s">
        <v>673</v>
      </c>
      <c r="F27" s="45" t="s">
        <v>184</v>
      </c>
      <c r="G27" s="45">
        <v>12854</v>
      </c>
      <c r="H27" s="48">
        <v>0</v>
      </c>
      <c r="I27" s="120" t="s">
        <v>192</v>
      </c>
      <c r="J27" s="35" t="s">
        <v>1043</v>
      </c>
      <c r="K27" s="33" t="s">
        <v>1117</v>
      </c>
    </row>
    <row r="28" spans="1:11" s="5" customFormat="1" ht="33.75">
      <c r="A28" s="45" t="s">
        <v>674</v>
      </c>
      <c r="B28" s="51" t="s">
        <v>432</v>
      </c>
      <c r="C28" s="46" t="s">
        <v>86</v>
      </c>
      <c r="D28" s="49" t="s">
        <v>676</v>
      </c>
      <c r="E28" s="49" t="s">
        <v>677</v>
      </c>
      <c r="F28" s="45" t="s">
        <v>184</v>
      </c>
      <c r="G28" s="45">
        <v>12854</v>
      </c>
      <c r="H28" s="48">
        <v>18500.05</v>
      </c>
      <c r="I28" s="120" t="s">
        <v>192</v>
      </c>
      <c r="J28" s="35" t="s">
        <v>1043</v>
      </c>
      <c r="K28" s="33" t="s">
        <v>1117</v>
      </c>
    </row>
    <row r="29" spans="1:11" s="5" customFormat="1" ht="19.5" customHeight="1">
      <c r="A29" s="45" t="s">
        <v>908</v>
      </c>
      <c r="B29" s="46" t="s">
        <v>909</v>
      </c>
      <c r="C29" s="49" t="s">
        <v>86</v>
      </c>
      <c r="D29" s="45" t="s">
        <v>668</v>
      </c>
      <c r="E29" s="45" t="s">
        <v>910</v>
      </c>
      <c r="F29" s="48" t="s">
        <v>184</v>
      </c>
      <c r="G29" s="120">
        <v>12854</v>
      </c>
      <c r="H29" s="48">
        <v>0</v>
      </c>
      <c r="I29" s="120" t="s">
        <v>192</v>
      </c>
      <c r="J29" s="35" t="s">
        <v>1043</v>
      </c>
      <c r="K29" s="33" t="s">
        <v>1117</v>
      </c>
    </row>
    <row r="30" spans="1:11" s="5" customFormat="1" ht="24.75" customHeight="1">
      <c r="A30" s="45" t="s">
        <v>675</v>
      </c>
      <c r="B30" s="51" t="s">
        <v>444</v>
      </c>
      <c r="C30" s="46" t="s">
        <v>86</v>
      </c>
      <c r="D30" s="49" t="s">
        <v>678</v>
      </c>
      <c r="E30" s="49" t="s">
        <v>679</v>
      </c>
      <c r="F30" s="45" t="s">
        <v>33</v>
      </c>
      <c r="G30" s="45">
        <v>12854</v>
      </c>
      <c r="H30" s="48">
        <f>4522*1.15</f>
        <v>5200.2999999999993</v>
      </c>
      <c r="I30" s="120" t="s">
        <v>1046</v>
      </c>
      <c r="J30" s="35" t="s">
        <v>1043</v>
      </c>
      <c r="K30" s="33" t="s">
        <v>1117</v>
      </c>
    </row>
    <row r="31" spans="1:11" s="5" customFormat="1" ht="26.25" customHeight="1">
      <c r="A31" s="45" t="s">
        <v>680</v>
      </c>
      <c r="B31" s="51" t="s">
        <v>427</v>
      </c>
      <c r="C31" s="46" t="s">
        <v>86</v>
      </c>
      <c r="D31" s="49" t="s">
        <v>429</v>
      </c>
      <c r="E31" s="49" t="s">
        <v>681</v>
      </c>
      <c r="F31" s="45" t="s">
        <v>184</v>
      </c>
      <c r="G31" s="45">
        <v>12854</v>
      </c>
      <c r="H31" s="48">
        <v>18500.05</v>
      </c>
      <c r="I31" s="120" t="s">
        <v>1086</v>
      </c>
      <c r="J31" s="120" t="s">
        <v>1085</v>
      </c>
      <c r="K31" s="33" t="s">
        <v>1117</v>
      </c>
    </row>
    <row r="32" spans="1:11" s="15" customFormat="1" ht="11.25" customHeight="1">
      <c r="A32" s="201" t="s">
        <v>17</v>
      </c>
      <c r="B32" s="197" t="s">
        <v>19</v>
      </c>
      <c r="C32" s="197" t="s">
        <v>20</v>
      </c>
      <c r="D32" s="197" t="s">
        <v>21</v>
      </c>
      <c r="E32" s="197" t="s">
        <v>22</v>
      </c>
      <c r="F32" s="197" t="s">
        <v>23</v>
      </c>
      <c r="G32" s="197" t="s">
        <v>24</v>
      </c>
      <c r="H32" s="198" t="s">
        <v>25</v>
      </c>
      <c r="I32" s="198" t="s">
        <v>187</v>
      </c>
      <c r="J32" s="199" t="s">
        <v>470</v>
      </c>
      <c r="K32" s="188" t="s">
        <v>1115</v>
      </c>
    </row>
    <row r="33" spans="1:11" s="15" customFormat="1" ht="13.5" customHeight="1">
      <c r="A33" s="202"/>
      <c r="B33" s="197"/>
      <c r="C33" s="197"/>
      <c r="D33" s="197"/>
      <c r="E33" s="197"/>
      <c r="F33" s="197"/>
      <c r="G33" s="197"/>
      <c r="H33" s="198"/>
      <c r="I33" s="198"/>
      <c r="J33" s="200"/>
      <c r="K33" s="189"/>
    </row>
    <row r="34" spans="1:11" s="5" customFormat="1" ht="22.5">
      <c r="A34" s="45" t="s">
        <v>682</v>
      </c>
      <c r="B34" s="51" t="s">
        <v>432</v>
      </c>
      <c r="C34" s="46" t="s">
        <v>86</v>
      </c>
      <c r="D34" s="49" t="s">
        <v>683</v>
      </c>
      <c r="E34" s="49" t="s">
        <v>684</v>
      </c>
      <c r="F34" s="45" t="s">
        <v>184</v>
      </c>
      <c r="G34" s="45">
        <v>12854</v>
      </c>
      <c r="H34" s="48">
        <v>0</v>
      </c>
      <c r="I34" s="120" t="s">
        <v>1086</v>
      </c>
      <c r="J34" s="120" t="s">
        <v>1085</v>
      </c>
      <c r="K34" s="33" t="s">
        <v>1117</v>
      </c>
    </row>
    <row r="35" spans="1:11" s="5" customFormat="1" ht="22.5">
      <c r="A35" s="45" t="s">
        <v>686</v>
      </c>
      <c r="B35" s="51" t="s">
        <v>667</v>
      </c>
      <c r="C35" s="46" t="s">
        <v>86</v>
      </c>
      <c r="D35" s="49"/>
      <c r="E35" s="49" t="s">
        <v>688</v>
      </c>
      <c r="F35" s="45" t="s">
        <v>184</v>
      </c>
      <c r="G35" s="45">
        <v>12854</v>
      </c>
      <c r="H35" s="48">
        <v>0</v>
      </c>
      <c r="I35" s="120" t="s">
        <v>385</v>
      </c>
      <c r="J35" s="120" t="s">
        <v>1072</v>
      </c>
      <c r="K35" s="33" t="s">
        <v>1117</v>
      </c>
    </row>
    <row r="36" spans="1:11" s="5" customFormat="1" ht="36.75" customHeight="1">
      <c r="A36" s="45" t="s">
        <v>687</v>
      </c>
      <c r="B36" s="51" t="s">
        <v>436</v>
      </c>
      <c r="C36" s="46" t="s">
        <v>86</v>
      </c>
      <c r="D36" s="49" t="s">
        <v>689</v>
      </c>
      <c r="E36" s="49" t="s">
        <v>690</v>
      </c>
      <c r="F36" s="45" t="s">
        <v>33</v>
      </c>
      <c r="G36" s="45">
        <v>12854</v>
      </c>
      <c r="H36" s="48">
        <v>0</v>
      </c>
      <c r="I36" s="120" t="s">
        <v>385</v>
      </c>
      <c r="J36" s="120" t="s">
        <v>1072</v>
      </c>
      <c r="K36" s="33" t="s">
        <v>1117</v>
      </c>
    </row>
    <row r="37" spans="1:11" ht="24" customHeight="1">
      <c r="A37" s="45" t="s">
        <v>685</v>
      </c>
      <c r="B37" s="51" t="s">
        <v>444</v>
      </c>
      <c r="C37" s="46" t="s">
        <v>86</v>
      </c>
      <c r="D37" s="49" t="s">
        <v>691</v>
      </c>
      <c r="E37" s="49" t="s">
        <v>679</v>
      </c>
      <c r="F37" s="45" t="s">
        <v>33</v>
      </c>
      <c r="G37" s="45">
        <v>12854</v>
      </c>
      <c r="H37" s="48">
        <v>5200.6000000000004</v>
      </c>
      <c r="I37" s="120" t="s">
        <v>1092</v>
      </c>
      <c r="J37" s="35" t="s">
        <v>1097</v>
      </c>
      <c r="K37" s="118" t="s">
        <v>1116</v>
      </c>
    </row>
    <row r="38" spans="1:11">
      <c r="H38" s="85">
        <f>SUM(H25:H37)</f>
        <v>47400.999999999993</v>
      </c>
    </row>
    <row r="40" spans="1:11" ht="27" customHeight="1">
      <c r="A40" s="45" t="s">
        <v>641</v>
      </c>
      <c r="B40" s="51" t="s">
        <v>427</v>
      </c>
      <c r="C40" s="46" t="s">
        <v>428</v>
      </c>
      <c r="D40" s="49" t="s">
        <v>429</v>
      </c>
      <c r="E40" s="49" t="s">
        <v>699</v>
      </c>
      <c r="F40" s="45" t="s">
        <v>33</v>
      </c>
      <c r="G40" s="45">
        <v>15879</v>
      </c>
      <c r="H40" s="48">
        <f>15520*1.15</f>
        <v>17848</v>
      </c>
      <c r="I40" s="120" t="s">
        <v>1079</v>
      </c>
      <c r="J40" s="120" t="s">
        <v>620</v>
      </c>
      <c r="K40" s="33" t="s">
        <v>1117</v>
      </c>
    </row>
    <row r="41" spans="1:11" ht="26.25" customHeight="1">
      <c r="A41" s="45" t="s">
        <v>696</v>
      </c>
      <c r="B41" s="51" t="s">
        <v>432</v>
      </c>
      <c r="C41" s="46" t="s">
        <v>86</v>
      </c>
      <c r="D41" s="49" t="s">
        <v>433</v>
      </c>
      <c r="E41" s="49" t="s">
        <v>700</v>
      </c>
      <c r="F41" s="45" t="s">
        <v>33</v>
      </c>
      <c r="G41" s="45">
        <v>15879</v>
      </c>
      <c r="H41" s="48"/>
      <c r="I41" s="120" t="s">
        <v>1079</v>
      </c>
      <c r="J41" s="120" t="s">
        <v>620</v>
      </c>
      <c r="K41" s="33" t="s">
        <v>1117</v>
      </c>
    </row>
    <row r="42" spans="1:11" ht="22.5">
      <c r="A42" s="45" t="s">
        <v>697</v>
      </c>
      <c r="B42" s="51" t="s">
        <v>436</v>
      </c>
      <c r="C42" s="46" t="s">
        <v>86</v>
      </c>
      <c r="D42" s="49" t="s">
        <v>437</v>
      </c>
      <c r="E42" s="49" t="s">
        <v>701</v>
      </c>
      <c r="F42" s="45" t="s">
        <v>33</v>
      </c>
      <c r="G42" s="45">
        <v>15879</v>
      </c>
      <c r="H42" s="48"/>
      <c r="I42" s="120" t="s">
        <v>385</v>
      </c>
      <c r="J42" s="120" t="s">
        <v>1072</v>
      </c>
      <c r="K42" s="33" t="s">
        <v>1117</v>
      </c>
    </row>
    <row r="43" spans="1:11" ht="22.5">
      <c r="A43" s="45" t="s">
        <v>698</v>
      </c>
      <c r="B43" s="51" t="s">
        <v>440</v>
      </c>
      <c r="C43" s="46" t="s">
        <v>86</v>
      </c>
      <c r="D43" s="49" t="s">
        <v>441</v>
      </c>
      <c r="E43" s="49" t="s">
        <v>702</v>
      </c>
      <c r="F43" s="45" t="s">
        <v>33</v>
      </c>
      <c r="G43" s="45">
        <v>15879</v>
      </c>
      <c r="H43" s="48"/>
      <c r="I43" s="120" t="s">
        <v>385</v>
      </c>
      <c r="J43" s="120" t="s">
        <v>1072</v>
      </c>
      <c r="K43" s="33" t="s">
        <v>1117</v>
      </c>
    </row>
    <row r="44" spans="1:11" ht="22.5">
      <c r="A44" s="45" t="s">
        <v>703</v>
      </c>
      <c r="B44" s="51" t="s">
        <v>444</v>
      </c>
      <c r="C44" s="46" t="s">
        <v>86</v>
      </c>
      <c r="D44" s="49" t="s">
        <v>445</v>
      </c>
      <c r="E44" s="49" t="s">
        <v>705</v>
      </c>
      <c r="F44" s="45" t="s">
        <v>33</v>
      </c>
      <c r="G44" s="45">
        <v>15879</v>
      </c>
      <c r="H44" s="48">
        <f>4720*1.15</f>
        <v>5428</v>
      </c>
      <c r="I44" s="120" t="s">
        <v>192</v>
      </c>
      <c r="J44" s="120" t="s">
        <v>1070</v>
      </c>
      <c r="K44" s="33" t="s">
        <v>1117</v>
      </c>
    </row>
    <row r="45" spans="1:11" ht="22.5">
      <c r="A45" s="45" t="s">
        <v>704</v>
      </c>
      <c r="B45" s="51" t="s">
        <v>448</v>
      </c>
      <c r="C45" s="46" t="s">
        <v>86</v>
      </c>
      <c r="D45" s="49"/>
      <c r="E45" s="49"/>
      <c r="F45" s="45" t="s">
        <v>33</v>
      </c>
      <c r="G45" s="45">
        <v>15879</v>
      </c>
      <c r="H45" s="48"/>
      <c r="I45" s="120" t="s">
        <v>385</v>
      </c>
      <c r="J45" s="120" t="s">
        <v>1072</v>
      </c>
      <c r="K45" s="33" t="s">
        <v>1117</v>
      </c>
    </row>
    <row r="46" spans="1:11" ht="22.5">
      <c r="A46" s="45" t="s">
        <v>706</v>
      </c>
      <c r="B46" s="51" t="s">
        <v>450</v>
      </c>
      <c r="C46" s="46" t="s">
        <v>86</v>
      </c>
      <c r="D46" s="49"/>
      <c r="E46" s="49"/>
      <c r="F46" s="45" t="s">
        <v>33</v>
      </c>
      <c r="G46" s="45">
        <v>15879</v>
      </c>
      <c r="H46" s="48"/>
      <c r="I46" s="120" t="s">
        <v>385</v>
      </c>
      <c r="J46" s="120" t="s">
        <v>1072</v>
      </c>
      <c r="K46" s="33" t="s">
        <v>1117</v>
      </c>
    </row>
    <row r="47" spans="1:11" ht="22.5">
      <c r="A47" s="45" t="s">
        <v>707</v>
      </c>
      <c r="B47" s="51" t="s">
        <v>452</v>
      </c>
      <c r="C47" s="46" t="s">
        <v>86</v>
      </c>
      <c r="D47" s="49"/>
      <c r="E47" s="52"/>
      <c r="F47" s="45" t="s">
        <v>33</v>
      </c>
      <c r="G47" s="45">
        <v>15879</v>
      </c>
      <c r="H47" s="48"/>
      <c r="I47" s="120" t="s">
        <v>385</v>
      </c>
      <c r="J47" s="120" t="s">
        <v>1072</v>
      </c>
      <c r="K47" s="33" t="s">
        <v>1117</v>
      </c>
    </row>
    <row r="48" spans="1:11" ht="24" customHeight="1">
      <c r="A48" s="45" t="s">
        <v>426</v>
      </c>
      <c r="B48" s="51" t="s">
        <v>427</v>
      </c>
      <c r="C48" s="46" t="s">
        <v>428</v>
      </c>
      <c r="D48" s="49" t="s">
        <v>429</v>
      </c>
      <c r="E48" s="52" t="s">
        <v>430</v>
      </c>
      <c r="F48" s="45" t="s">
        <v>33</v>
      </c>
      <c r="G48" s="45">
        <v>15879</v>
      </c>
      <c r="H48" s="48">
        <v>0</v>
      </c>
      <c r="I48" s="120" t="s">
        <v>1081</v>
      </c>
      <c r="J48" s="120" t="s">
        <v>1083</v>
      </c>
      <c r="K48" s="33" t="s">
        <v>1117</v>
      </c>
    </row>
    <row r="49" spans="1:11" ht="24" customHeight="1">
      <c r="A49" s="45" t="s">
        <v>431</v>
      </c>
      <c r="B49" s="51" t="s">
        <v>432</v>
      </c>
      <c r="C49" s="46" t="s">
        <v>86</v>
      </c>
      <c r="D49" s="49" t="s">
        <v>433</v>
      </c>
      <c r="E49" s="52" t="s">
        <v>434</v>
      </c>
      <c r="F49" s="45" t="s">
        <v>33</v>
      </c>
      <c r="G49" s="45">
        <v>15879</v>
      </c>
      <c r="H49" s="48">
        <v>17848</v>
      </c>
      <c r="I49" s="120" t="s">
        <v>1081</v>
      </c>
      <c r="J49" s="120" t="s">
        <v>1083</v>
      </c>
      <c r="K49" s="33" t="s">
        <v>1117</v>
      </c>
    </row>
    <row r="50" spans="1:11" ht="24.75" customHeight="1">
      <c r="A50" s="45" t="s">
        <v>435</v>
      </c>
      <c r="B50" s="51" t="s">
        <v>436</v>
      </c>
      <c r="C50" s="46" t="s">
        <v>86</v>
      </c>
      <c r="D50" s="49" t="s">
        <v>437</v>
      </c>
      <c r="E50" s="52" t="s">
        <v>438</v>
      </c>
      <c r="F50" s="45" t="s">
        <v>33</v>
      </c>
      <c r="G50" s="45">
        <v>15879</v>
      </c>
      <c r="H50" s="48"/>
      <c r="I50" s="120" t="s">
        <v>1079</v>
      </c>
      <c r="J50" s="120" t="s">
        <v>1072</v>
      </c>
      <c r="K50" s="33" t="s">
        <v>1117</v>
      </c>
    </row>
    <row r="51" spans="1:11" ht="22.5">
      <c r="A51" s="45" t="s">
        <v>439</v>
      </c>
      <c r="B51" s="51" t="s">
        <v>440</v>
      </c>
      <c r="C51" s="46" t="s">
        <v>86</v>
      </c>
      <c r="D51" s="49" t="s">
        <v>441</v>
      </c>
      <c r="E51" s="52" t="s">
        <v>442</v>
      </c>
      <c r="F51" s="45" t="s">
        <v>33</v>
      </c>
      <c r="G51" s="45">
        <v>15879</v>
      </c>
      <c r="H51" s="48"/>
      <c r="I51" s="120" t="s">
        <v>1079</v>
      </c>
      <c r="J51" s="120" t="s">
        <v>1072</v>
      </c>
      <c r="K51" s="33" t="s">
        <v>1117</v>
      </c>
    </row>
    <row r="52" spans="1:11" ht="28.5" customHeight="1">
      <c r="A52" s="45" t="s">
        <v>443</v>
      </c>
      <c r="B52" s="51" t="s">
        <v>444</v>
      </c>
      <c r="C52" s="46" t="s">
        <v>86</v>
      </c>
      <c r="D52" s="49" t="s">
        <v>445</v>
      </c>
      <c r="E52" s="52" t="s">
        <v>446</v>
      </c>
      <c r="F52" s="45" t="s">
        <v>33</v>
      </c>
      <c r="G52" s="45">
        <v>15879</v>
      </c>
      <c r="H52" s="48">
        <f>4720*1.15</f>
        <v>5428</v>
      </c>
      <c r="I52" s="120" t="s">
        <v>1079</v>
      </c>
      <c r="J52" s="120" t="s">
        <v>620</v>
      </c>
      <c r="K52" s="33" t="s">
        <v>1117</v>
      </c>
    </row>
    <row r="53" spans="1:11" ht="24.75" customHeight="1">
      <c r="A53" s="45" t="s">
        <v>447</v>
      </c>
      <c r="B53" s="51" t="s">
        <v>448</v>
      </c>
      <c r="C53" s="46" t="s">
        <v>86</v>
      </c>
      <c r="D53" s="49"/>
      <c r="E53" s="52"/>
      <c r="F53" s="45" t="s">
        <v>33</v>
      </c>
      <c r="G53" s="45">
        <v>15879</v>
      </c>
      <c r="H53" s="48"/>
      <c r="I53" s="120" t="s">
        <v>1079</v>
      </c>
      <c r="J53" s="120" t="s">
        <v>1072</v>
      </c>
      <c r="K53" s="33" t="s">
        <v>1117</v>
      </c>
    </row>
    <row r="54" spans="1:11" ht="22.5">
      <c r="A54" s="45" t="s">
        <v>449</v>
      </c>
      <c r="B54" s="51" t="s">
        <v>450</v>
      </c>
      <c r="C54" s="46"/>
      <c r="D54" s="49"/>
      <c r="E54" s="52"/>
      <c r="F54" s="45" t="s">
        <v>33</v>
      </c>
      <c r="G54" s="45">
        <v>15879</v>
      </c>
      <c r="H54" s="48"/>
      <c r="I54" s="120" t="s">
        <v>385</v>
      </c>
      <c r="J54" s="120" t="s">
        <v>1072</v>
      </c>
      <c r="K54" s="33" t="s">
        <v>1117</v>
      </c>
    </row>
    <row r="55" spans="1:11" ht="34.5" customHeight="1">
      <c r="A55" s="45" t="s">
        <v>451</v>
      </c>
      <c r="B55" s="51" t="s">
        <v>452</v>
      </c>
      <c r="C55" s="46" t="s">
        <v>86</v>
      </c>
      <c r="D55" s="49"/>
      <c r="E55" s="52">
        <v>7413141</v>
      </c>
      <c r="F55" s="45" t="s">
        <v>33</v>
      </c>
      <c r="G55" s="45">
        <v>15879</v>
      </c>
      <c r="H55" s="48"/>
      <c r="I55" s="120" t="s">
        <v>385</v>
      </c>
      <c r="J55" s="120" t="s">
        <v>1072</v>
      </c>
      <c r="K55" s="33" t="s">
        <v>1117</v>
      </c>
    </row>
    <row r="56" spans="1:11" ht="35.25" customHeight="1">
      <c r="A56" s="45" t="s">
        <v>453</v>
      </c>
      <c r="B56" s="51" t="s">
        <v>454</v>
      </c>
      <c r="C56" s="46" t="s">
        <v>455</v>
      </c>
      <c r="D56" s="49" t="s">
        <v>456</v>
      </c>
      <c r="E56" s="52" t="s">
        <v>457</v>
      </c>
      <c r="F56" s="45" t="s">
        <v>33</v>
      </c>
      <c r="G56" s="45">
        <v>15879</v>
      </c>
      <c r="H56" s="48">
        <v>30992.5</v>
      </c>
      <c r="I56" s="120" t="s">
        <v>1080</v>
      </c>
      <c r="J56" s="120" t="s">
        <v>584</v>
      </c>
      <c r="K56" s="118" t="s">
        <v>1116</v>
      </c>
    </row>
    <row r="57" spans="1:11" ht="27" customHeight="1">
      <c r="A57" s="45" t="s">
        <v>860</v>
      </c>
      <c r="B57" s="51" t="s">
        <v>709</v>
      </c>
      <c r="C57" s="46"/>
      <c r="D57" s="49"/>
      <c r="E57" s="52" t="s">
        <v>371</v>
      </c>
      <c r="F57" s="45" t="s">
        <v>33</v>
      </c>
      <c r="G57" s="45">
        <v>15879</v>
      </c>
      <c r="H57" s="48">
        <f>95*1.15</f>
        <v>109.24999999999999</v>
      </c>
      <c r="I57" s="120" t="s">
        <v>1079</v>
      </c>
      <c r="J57" s="120" t="s">
        <v>1016</v>
      </c>
      <c r="K57" s="33" t="s">
        <v>1117</v>
      </c>
    </row>
    <row r="58" spans="1:11" ht="24.75" customHeight="1">
      <c r="A58" s="45" t="s">
        <v>861</v>
      </c>
      <c r="B58" s="51" t="s">
        <v>709</v>
      </c>
      <c r="C58" s="46"/>
      <c r="D58" s="49"/>
      <c r="E58" s="52" t="s">
        <v>34</v>
      </c>
      <c r="F58" s="45" t="s">
        <v>33</v>
      </c>
      <c r="G58" s="45">
        <v>15879</v>
      </c>
      <c r="H58" s="48">
        <f>95*1.15</f>
        <v>109.24999999999999</v>
      </c>
      <c r="I58" s="120" t="s">
        <v>385</v>
      </c>
      <c r="J58" s="120" t="s">
        <v>1072</v>
      </c>
      <c r="K58" s="33" t="s">
        <v>1117</v>
      </c>
    </row>
    <row r="59" spans="1:11">
      <c r="H59" s="13">
        <f>SUM(H40:H58)</f>
        <v>77763</v>
      </c>
      <c r="I59" s="87"/>
    </row>
    <row r="60" spans="1:11">
      <c r="H60" s="13"/>
      <c r="I60" s="87"/>
    </row>
    <row r="61" spans="1:11">
      <c r="A61" s="140" t="s">
        <v>17</v>
      </c>
      <c r="B61" s="197" t="s">
        <v>19</v>
      </c>
      <c r="C61" s="197" t="s">
        <v>20</v>
      </c>
      <c r="D61" s="197" t="s">
        <v>21</v>
      </c>
      <c r="E61" s="197" t="s">
        <v>22</v>
      </c>
      <c r="F61" s="197" t="s">
        <v>23</v>
      </c>
      <c r="G61" s="197" t="s">
        <v>24</v>
      </c>
      <c r="H61" s="198" t="s">
        <v>25</v>
      </c>
      <c r="I61" s="198" t="s">
        <v>187</v>
      </c>
      <c r="J61" s="199" t="s">
        <v>470</v>
      </c>
      <c r="K61" s="188" t="s">
        <v>1115</v>
      </c>
    </row>
    <row r="62" spans="1:11">
      <c r="A62" s="140" t="s">
        <v>26</v>
      </c>
      <c r="B62" s="197"/>
      <c r="C62" s="197"/>
      <c r="D62" s="197"/>
      <c r="E62" s="197"/>
      <c r="F62" s="197"/>
      <c r="G62" s="197"/>
      <c r="H62" s="198"/>
      <c r="I62" s="198"/>
      <c r="J62" s="200"/>
      <c r="K62" s="189"/>
    </row>
    <row r="63" spans="1:11" ht="25.5" customHeight="1">
      <c r="A63" s="118" t="s">
        <v>710</v>
      </c>
      <c r="B63" s="51" t="s">
        <v>6</v>
      </c>
      <c r="C63" s="46" t="s">
        <v>86</v>
      </c>
      <c r="D63" s="49" t="s">
        <v>380</v>
      </c>
      <c r="E63" s="52" t="s">
        <v>381</v>
      </c>
      <c r="F63" s="45" t="s">
        <v>33</v>
      </c>
      <c r="G63" s="45" t="s">
        <v>14</v>
      </c>
      <c r="H63" s="48">
        <v>3999</v>
      </c>
      <c r="I63" s="120" t="s">
        <v>385</v>
      </c>
      <c r="J63" s="120" t="s">
        <v>1072</v>
      </c>
      <c r="K63" s="33" t="s">
        <v>1117</v>
      </c>
    </row>
    <row r="64" spans="1:11" ht="22.5">
      <c r="A64" s="118" t="s">
        <v>711</v>
      </c>
      <c r="B64" s="51" t="s">
        <v>10</v>
      </c>
      <c r="C64" s="46"/>
      <c r="D64" s="49"/>
      <c r="E64" s="52"/>
      <c r="F64" s="45" t="s">
        <v>33</v>
      </c>
      <c r="G64" s="45" t="s">
        <v>14</v>
      </c>
      <c r="H64" s="48">
        <v>199</v>
      </c>
      <c r="I64" s="120" t="s">
        <v>385</v>
      </c>
      <c r="J64" s="120" t="s">
        <v>1072</v>
      </c>
      <c r="K64" s="33" t="s">
        <v>1117</v>
      </c>
    </row>
    <row r="65" spans="1:11" ht="22.5">
      <c r="A65" s="118" t="s">
        <v>712</v>
      </c>
      <c r="B65" s="51" t="s">
        <v>11</v>
      </c>
      <c r="C65" s="46"/>
      <c r="D65" s="49"/>
      <c r="E65" s="52"/>
      <c r="F65" s="45" t="s">
        <v>33</v>
      </c>
      <c r="G65" s="45" t="s">
        <v>14</v>
      </c>
      <c r="H65" s="48">
        <v>178.99</v>
      </c>
      <c r="I65" s="120" t="s">
        <v>385</v>
      </c>
      <c r="J65" s="120" t="s">
        <v>1072</v>
      </c>
      <c r="K65" s="33" t="s">
        <v>1117</v>
      </c>
    </row>
    <row r="66" spans="1:11">
      <c r="H66" s="13">
        <f>SUM(H63:H65)</f>
        <v>4376.99</v>
      </c>
    </row>
    <row r="68" spans="1:11">
      <c r="A68" s="140" t="s">
        <v>17</v>
      </c>
      <c r="B68" s="197" t="s">
        <v>19</v>
      </c>
      <c r="C68" s="197" t="s">
        <v>20</v>
      </c>
      <c r="D68" s="197" t="s">
        <v>21</v>
      </c>
      <c r="E68" s="197" t="s">
        <v>22</v>
      </c>
      <c r="F68" s="197" t="s">
        <v>23</v>
      </c>
      <c r="G68" s="197" t="s">
        <v>24</v>
      </c>
      <c r="H68" s="198" t="s">
        <v>25</v>
      </c>
      <c r="I68" s="198" t="s">
        <v>187</v>
      </c>
      <c r="J68" s="199" t="s">
        <v>470</v>
      </c>
      <c r="K68" s="188" t="s">
        <v>1115</v>
      </c>
    </row>
    <row r="69" spans="1:11">
      <c r="A69" s="140" t="s">
        <v>26</v>
      </c>
      <c r="B69" s="197"/>
      <c r="C69" s="197"/>
      <c r="D69" s="197"/>
      <c r="E69" s="197"/>
      <c r="F69" s="197"/>
      <c r="G69" s="197"/>
      <c r="H69" s="198"/>
      <c r="I69" s="198"/>
      <c r="J69" s="200"/>
      <c r="K69" s="189"/>
    </row>
    <row r="70" spans="1:11" ht="133.5" customHeight="1">
      <c r="A70" s="118" t="s">
        <v>713</v>
      </c>
      <c r="B70" s="51" t="s">
        <v>714</v>
      </c>
      <c r="C70" s="46"/>
      <c r="D70" s="49"/>
      <c r="E70" s="52" t="s">
        <v>715</v>
      </c>
      <c r="F70" s="45" t="s">
        <v>33</v>
      </c>
      <c r="G70" s="45">
        <v>859</v>
      </c>
      <c r="H70" s="48">
        <v>9860</v>
      </c>
      <c r="I70" s="120" t="s">
        <v>192</v>
      </c>
      <c r="J70" s="120" t="s">
        <v>1070</v>
      </c>
      <c r="K70" s="33" t="s">
        <v>1117</v>
      </c>
    </row>
    <row r="71" spans="1:11" ht="132.75" customHeight="1">
      <c r="A71" s="118" t="s">
        <v>716</v>
      </c>
      <c r="B71" s="51" t="s">
        <v>714</v>
      </c>
      <c r="C71" s="46"/>
      <c r="D71" s="49"/>
      <c r="E71" s="52" t="s">
        <v>715</v>
      </c>
      <c r="F71" s="45" t="s">
        <v>33</v>
      </c>
      <c r="G71" s="45">
        <v>859</v>
      </c>
      <c r="H71" s="48">
        <v>9860</v>
      </c>
      <c r="I71" s="120" t="s">
        <v>1061</v>
      </c>
      <c r="J71" s="120" t="s">
        <v>1071</v>
      </c>
      <c r="K71" s="118" t="s">
        <v>1116</v>
      </c>
    </row>
    <row r="72" spans="1:11">
      <c r="H72" s="13">
        <f>+H70+H71</f>
        <v>19720</v>
      </c>
    </row>
    <row r="73" spans="1:11" ht="18" customHeight="1">
      <c r="H73" s="13"/>
    </row>
    <row r="74" spans="1:11" ht="12">
      <c r="A74" s="118" t="s">
        <v>717</v>
      </c>
      <c r="B74" s="51" t="s">
        <v>718</v>
      </c>
      <c r="C74" s="46" t="s">
        <v>719</v>
      </c>
      <c r="D74" s="49"/>
      <c r="E74" s="52"/>
      <c r="F74" s="45" t="s">
        <v>33</v>
      </c>
      <c r="G74" s="45" t="s">
        <v>720</v>
      </c>
      <c r="H74" s="48">
        <f>3275.86*1.16</f>
        <v>3799.9975999999997</v>
      </c>
      <c r="I74" s="120" t="s">
        <v>1047</v>
      </c>
      <c r="J74" s="120" t="s">
        <v>1043</v>
      </c>
      <c r="K74" s="33" t="s">
        <v>1117</v>
      </c>
    </row>
    <row r="75" spans="1:11" ht="12">
      <c r="A75" s="118" t="s">
        <v>721</v>
      </c>
      <c r="B75" s="51" t="s">
        <v>718</v>
      </c>
      <c r="C75" s="46" t="s">
        <v>719</v>
      </c>
      <c r="D75" s="49"/>
      <c r="E75" s="52"/>
      <c r="F75" s="45" t="s">
        <v>33</v>
      </c>
      <c r="G75" s="45" t="s">
        <v>720</v>
      </c>
      <c r="H75" s="48">
        <f>3275.86*1.16</f>
        <v>3799.9975999999997</v>
      </c>
      <c r="I75" s="120" t="s">
        <v>1047</v>
      </c>
      <c r="J75" s="35" t="s">
        <v>1043</v>
      </c>
      <c r="K75" s="33" t="s">
        <v>1117</v>
      </c>
    </row>
    <row r="76" spans="1:11" s="15" customFormat="1">
      <c r="A76" s="11"/>
      <c r="B76" s="2"/>
      <c r="C76" s="2"/>
      <c r="D76" s="2"/>
      <c r="E76" s="2"/>
      <c r="F76" s="2"/>
      <c r="G76" s="2"/>
      <c r="H76" s="13">
        <f>SUM(H74:H75)</f>
        <v>7599.9951999999994</v>
      </c>
      <c r="I76" s="11"/>
      <c r="J76" s="2"/>
    </row>
    <row r="77" spans="1:11" s="15" customFormat="1">
      <c r="A77" s="11"/>
      <c r="B77" s="2"/>
      <c r="C77" s="2"/>
      <c r="D77" s="2"/>
      <c r="E77" s="2"/>
      <c r="F77" s="2"/>
      <c r="G77" s="2"/>
      <c r="H77" s="13"/>
      <c r="I77" s="11"/>
      <c r="J77" s="2"/>
    </row>
    <row r="78" spans="1:11">
      <c r="A78" s="140" t="s">
        <v>17</v>
      </c>
      <c r="B78" s="197" t="s">
        <v>19</v>
      </c>
      <c r="C78" s="197" t="s">
        <v>20</v>
      </c>
      <c r="D78" s="197" t="s">
        <v>21</v>
      </c>
      <c r="E78" s="197" t="s">
        <v>22</v>
      </c>
      <c r="F78" s="197" t="s">
        <v>23</v>
      </c>
      <c r="G78" s="197" t="s">
        <v>24</v>
      </c>
      <c r="H78" s="198" t="s">
        <v>25</v>
      </c>
      <c r="I78" s="198" t="s">
        <v>187</v>
      </c>
      <c r="J78" s="199" t="s">
        <v>470</v>
      </c>
      <c r="K78" s="188" t="s">
        <v>1115</v>
      </c>
    </row>
    <row r="79" spans="1:11">
      <c r="A79" s="140" t="s">
        <v>26</v>
      </c>
      <c r="B79" s="197"/>
      <c r="C79" s="197"/>
      <c r="D79" s="197"/>
      <c r="E79" s="197"/>
      <c r="F79" s="197"/>
      <c r="G79" s="197"/>
      <c r="H79" s="198"/>
      <c r="I79" s="198"/>
      <c r="J79" s="200"/>
      <c r="K79" s="189"/>
    </row>
    <row r="80" spans="1:11" ht="102.75" customHeight="1">
      <c r="A80" s="118" t="s">
        <v>853</v>
      </c>
      <c r="B80" s="51" t="s">
        <v>15</v>
      </c>
      <c r="C80" s="46" t="s">
        <v>854</v>
      </c>
      <c r="D80" s="49" t="s">
        <v>855</v>
      </c>
      <c r="E80" s="52" t="s">
        <v>856</v>
      </c>
      <c r="F80" s="45" t="s">
        <v>33</v>
      </c>
      <c r="G80" s="45">
        <v>906</v>
      </c>
      <c r="H80" s="48">
        <v>9976</v>
      </c>
      <c r="I80" s="120" t="s">
        <v>1079</v>
      </c>
      <c r="J80" s="120" t="s">
        <v>1072</v>
      </c>
      <c r="K80" s="33" t="s">
        <v>1117</v>
      </c>
    </row>
    <row r="81" spans="1:11" ht="100.5" customHeight="1">
      <c r="A81" s="118" t="s">
        <v>857</v>
      </c>
      <c r="B81" s="51" t="s">
        <v>15</v>
      </c>
      <c r="C81" s="46" t="s">
        <v>854</v>
      </c>
      <c r="D81" s="49" t="s">
        <v>855</v>
      </c>
      <c r="E81" s="52" t="s">
        <v>856</v>
      </c>
      <c r="F81" s="45" t="s">
        <v>33</v>
      </c>
      <c r="G81" s="45">
        <v>906</v>
      </c>
      <c r="H81" s="48">
        <v>9976</v>
      </c>
      <c r="I81" s="120" t="s">
        <v>1081</v>
      </c>
      <c r="J81" s="120" t="s">
        <v>858</v>
      </c>
      <c r="K81" s="33" t="s">
        <v>1117</v>
      </c>
    </row>
    <row r="82" spans="1:11">
      <c r="H82" s="13">
        <f>SUM(H80:H81)</f>
        <v>19952</v>
      </c>
    </row>
    <row r="83" spans="1:11">
      <c r="H83" s="13"/>
    </row>
    <row r="84" spans="1:11" ht="33" customHeight="1">
      <c r="A84" s="118" t="s">
        <v>1033</v>
      </c>
      <c r="B84" s="51" t="s">
        <v>1037</v>
      </c>
      <c r="C84" s="46" t="s">
        <v>1035</v>
      </c>
      <c r="D84" s="49" t="s">
        <v>1036</v>
      </c>
      <c r="E84" s="52" t="s">
        <v>1038</v>
      </c>
      <c r="F84" s="45" t="s">
        <v>33</v>
      </c>
      <c r="G84" s="45">
        <v>1218</v>
      </c>
      <c r="H84" s="48">
        <v>8816</v>
      </c>
      <c r="I84" s="120" t="s">
        <v>1081</v>
      </c>
      <c r="J84" s="120" t="s">
        <v>858</v>
      </c>
      <c r="K84" s="33" t="s">
        <v>1117</v>
      </c>
    </row>
    <row r="85" spans="1:11" ht="19.5" customHeight="1">
      <c r="A85" s="118" t="s">
        <v>1034</v>
      </c>
      <c r="B85" s="51" t="s">
        <v>1037</v>
      </c>
      <c r="C85" s="46" t="s">
        <v>1035</v>
      </c>
      <c r="D85" s="49" t="s">
        <v>1036</v>
      </c>
      <c r="E85" s="52" t="s">
        <v>1038</v>
      </c>
      <c r="F85" s="45" t="s">
        <v>33</v>
      </c>
      <c r="G85" s="45">
        <v>1218</v>
      </c>
      <c r="H85" s="48">
        <v>8816</v>
      </c>
      <c r="I85" s="120" t="s">
        <v>192</v>
      </c>
      <c r="J85" s="35" t="s">
        <v>1043</v>
      </c>
      <c r="K85" s="33" t="s">
        <v>1117</v>
      </c>
    </row>
    <row r="86" spans="1:11">
      <c r="H86" s="13">
        <f>SUM(H84:H85)</f>
        <v>17632</v>
      </c>
    </row>
    <row r="87" spans="1:11">
      <c r="H87" s="13"/>
    </row>
    <row r="88" spans="1:11" ht="22.5">
      <c r="A88" s="118" t="s">
        <v>1100</v>
      </c>
      <c r="B88" s="51" t="s">
        <v>1101</v>
      </c>
      <c r="C88" s="45" t="s">
        <v>1102</v>
      </c>
      <c r="D88" s="45" t="s">
        <v>1103</v>
      </c>
      <c r="E88" s="48" t="s">
        <v>371</v>
      </c>
      <c r="F88" s="120" t="s">
        <v>846</v>
      </c>
      <c r="G88" s="35">
        <v>1903</v>
      </c>
      <c r="H88" s="48">
        <v>1999.99</v>
      </c>
      <c r="I88" s="120" t="s">
        <v>1076</v>
      </c>
      <c r="J88" s="120" t="s">
        <v>1072</v>
      </c>
      <c r="K88" s="33" t="s">
        <v>1117</v>
      </c>
    </row>
    <row r="89" spans="1:11">
      <c r="H89" s="65">
        <f>+H88</f>
        <v>1999.99</v>
      </c>
    </row>
    <row r="90" spans="1:11" ht="21.75" customHeight="1">
      <c r="H90" s="65"/>
    </row>
    <row r="91" spans="1:11" ht="15.75" customHeight="1">
      <c r="A91" s="180" t="s">
        <v>17</v>
      </c>
      <c r="B91" s="197" t="s">
        <v>19</v>
      </c>
      <c r="C91" s="197" t="s">
        <v>20</v>
      </c>
      <c r="D91" s="197" t="s">
        <v>21</v>
      </c>
      <c r="E91" s="197" t="s">
        <v>22</v>
      </c>
      <c r="F91" s="197" t="s">
        <v>23</v>
      </c>
      <c r="G91" s="197" t="s">
        <v>24</v>
      </c>
      <c r="H91" s="198" t="s">
        <v>25</v>
      </c>
      <c r="I91" s="198" t="s">
        <v>187</v>
      </c>
      <c r="J91" s="199" t="s">
        <v>470</v>
      </c>
      <c r="K91" s="188" t="s">
        <v>1115</v>
      </c>
    </row>
    <row r="92" spans="1:11" ht="15.75" customHeight="1">
      <c r="A92" s="180" t="s">
        <v>26</v>
      </c>
      <c r="B92" s="197"/>
      <c r="C92" s="197"/>
      <c r="D92" s="197"/>
      <c r="E92" s="197"/>
      <c r="F92" s="197"/>
      <c r="G92" s="197"/>
      <c r="H92" s="198"/>
      <c r="I92" s="198"/>
      <c r="J92" s="200"/>
      <c r="K92" s="189"/>
    </row>
    <row r="93" spans="1:11" ht="46.5" customHeight="1">
      <c r="A93" s="182" t="s">
        <v>1140</v>
      </c>
      <c r="B93" s="51" t="s">
        <v>1101</v>
      </c>
      <c r="C93" s="45" t="s">
        <v>1102</v>
      </c>
      <c r="D93" s="45" t="s">
        <v>1103</v>
      </c>
      <c r="E93" s="48" t="s">
        <v>1144</v>
      </c>
      <c r="F93" s="120" t="s">
        <v>846</v>
      </c>
      <c r="G93" s="35">
        <v>220</v>
      </c>
      <c r="H93" s="48">
        <v>2494</v>
      </c>
      <c r="I93" s="120" t="s">
        <v>1076</v>
      </c>
      <c r="J93" s="120" t="s">
        <v>1072</v>
      </c>
      <c r="K93" s="33" t="s">
        <v>1117</v>
      </c>
    </row>
    <row r="94" spans="1:11" ht="47.25" customHeight="1">
      <c r="A94" s="182" t="s">
        <v>1141</v>
      </c>
      <c r="B94" s="51" t="s">
        <v>1101</v>
      </c>
      <c r="C94" s="45" t="s">
        <v>1102</v>
      </c>
      <c r="D94" s="45" t="s">
        <v>1103</v>
      </c>
      <c r="E94" s="48" t="s">
        <v>1145</v>
      </c>
      <c r="F94" s="120" t="s">
        <v>846</v>
      </c>
      <c r="G94" s="35">
        <v>220</v>
      </c>
      <c r="H94" s="48">
        <v>2494</v>
      </c>
      <c r="I94" s="120" t="s">
        <v>1076</v>
      </c>
      <c r="J94" s="120" t="s">
        <v>1072</v>
      </c>
      <c r="K94" s="33" t="s">
        <v>1117</v>
      </c>
    </row>
    <row r="95" spans="1:11">
      <c r="H95" s="21">
        <f>SUM(H93:H94)</f>
        <v>4988</v>
      </c>
    </row>
    <row r="96" spans="1:11">
      <c r="H96" s="21"/>
    </row>
    <row r="97" spans="2:8" ht="12">
      <c r="B97" s="2" t="s">
        <v>648</v>
      </c>
      <c r="C97" s="2">
        <v>4947.8</v>
      </c>
      <c r="F97" s="139" t="s">
        <v>1119</v>
      </c>
      <c r="G97" s="3"/>
      <c r="H97" s="21"/>
    </row>
    <row r="98" spans="2:8" ht="12">
      <c r="B98" s="2" t="s">
        <v>649</v>
      </c>
      <c r="C98" s="2">
        <v>-4946.8</v>
      </c>
      <c r="F98" s="3"/>
      <c r="G98" s="3"/>
      <c r="H98" s="21"/>
    </row>
    <row r="99" spans="2:8">
      <c r="B99" s="2" t="s">
        <v>650</v>
      </c>
      <c r="D99" s="53">
        <f>+C97+C98</f>
        <v>1</v>
      </c>
      <c r="H99" s="22"/>
    </row>
    <row r="100" spans="2:8">
      <c r="B100" s="2" t="s">
        <v>661</v>
      </c>
      <c r="D100" s="53">
        <v>12500</v>
      </c>
      <c r="E100" s="53">
        <v>12407.09</v>
      </c>
      <c r="F100" s="16" t="s">
        <v>900</v>
      </c>
      <c r="H100" s="21"/>
    </row>
    <row r="101" spans="2:8">
      <c r="B101" s="2" t="s">
        <v>662</v>
      </c>
      <c r="D101" s="53">
        <v>15343.43</v>
      </c>
      <c r="E101" s="53">
        <v>15436.34</v>
      </c>
      <c r="F101" s="16" t="s">
        <v>901</v>
      </c>
    </row>
    <row r="102" spans="2:8">
      <c r="B102" s="2" t="s">
        <v>663</v>
      </c>
      <c r="D102" s="53">
        <v>3391.29</v>
      </c>
      <c r="F102" s="17" t="s">
        <v>902</v>
      </c>
    </row>
    <row r="103" spans="2:8">
      <c r="B103" s="2" t="s">
        <v>664</v>
      </c>
      <c r="D103" s="53">
        <v>313.87</v>
      </c>
      <c r="F103" s="17" t="s">
        <v>903</v>
      </c>
    </row>
    <row r="104" spans="2:8">
      <c r="B104" s="2" t="s">
        <v>665</v>
      </c>
      <c r="D104" s="53">
        <v>47401</v>
      </c>
      <c r="F104" s="17" t="s">
        <v>904</v>
      </c>
    </row>
    <row r="105" spans="2:8">
      <c r="B105" s="2" t="s">
        <v>863</v>
      </c>
      <c r="D105" s="53">
        <v>4946.8</v>
      </c>
      <c r="F105" s="2" t="s">
        <v>996</v>
      </c>
    </row>
    <row r="106" spans="2:8">
      <c r="B106" s="2" t="s">
        <v>692</v>
      </c>
      <c r="D106" s="53">
        <v>77763</v>
      </c>
      <c r="F106" s="2" t="s">
        <v>896</v>
      </c>
      <c r="H106" s="12"/>
    </row>
    <row r="107" spans="2:8">
      <c r="B107" s="2" t="s">
        <v>693</v>
      </c>
      <c r="D107" s="53">
        <v>4376.99</v>
      </c>
      <c r="F107" s="2" t="s">
        <v>892</v>
      </c>
    </row>
    <row r="108" spans="2:8">
      <c r="B108" s="2" t="s">
        <v>694</v>
      </c>
      <c r="D108" s="22">
        <v>19720</v>
      </c>
      <c r="F108" s="2" t="s">
        <v>905</v>
      </c>
    </row>
    <row r="109" spans="2:8">
      <c r="B109" s="2" t="s">
        <v>695</v>
      </c>
      <c r="D109" s="22">
        <v>7600</v>
      </c>
      <c r="F109" s="2" t="s">
        <v>906</v>
      </c>
    </row>
    <row r="110" spans="2:8">
      <c r="B110" s="2" t="s">
        <v>852</v>
      </c>
      <c r="D110" s="22">
        <v>19952</v>
      </c>
      <c r="F110" s="2" t="s">
        <v>907</v>
      </c>
    </row>
    <row r="111" spans="2:8">
      <c r="B111" s="2" t="s">
        <v>1039</v>
      </c>
      <c r="D111" s="22">
        <v>8816</v>
      </c>
      <c r="F111" s="2" t="s">
        <v>1040</v>
      </c>
    </row>
    <row r="112" spans="2:8">
      <c r="B112" s="2" t="s">
        <v>1041</v>
      </c>
      <c r="D112" s="22">
        <v>8816</v>
      </c>
      <c r="F112" s="2" t="s">
        <v>1042</v>
      </c>
    </row>
    <row r="113" spans="2:6">
      <c r="B113" s="2" t="s">
        <v>1105</v>
      </c>
      <c r="D113" s="22">
        <v>1999.99</v>
      </c>
      <c r="F113" s="2" t="s">
        <v>1104</v>
      </c>
    </row>
    <row r="114" spans="2:6">
      <c r="B114" s="2" t="s">
        <v>1142</v>
      </c>
      <c r="D114" s="22">
        <v>4988</v>
      </c>
      <c r="F114" s="2" t="s">
        <v>1143</v>
      </c>
    </row>
    <row r="115" spans="2:6">
      <c r="D115" s="13">
        <f>SUM(D99:D114)</f>
        <v>237929.37</v>
      </c>
    </row>
  </sheetData>
  <mergeCells count="61">
    <mergeCell ref="G91:G92"/>
    <mergeCell ref="H91:H92"/>
    <mergeCell ref="I91:I92"/>
    <mergeCell ref="J91:J92"/>
    <mergeCell ref="K91:K92"/>
    <mergeCell ref="B91:B92"/>
    <mergeCell ref="C91:C92"/>
    <mergeCell ref="D91:D92"/>
    <mergeCell ref="E91:E92"/>
    <mergeCell ref="F91:F92"/>
    <mergeCell ref="K32:K33"/>
    <mergeCell ref="K61:K62"/>
    <mergeCell ref="K68:K69"/>
    <mergeCell ref="K78:K79"/>
    <mergeCell ref="K2:K3"/>
    <mergeCell ref="F32:F33"/>
    <mergeCell ref="B61:B62"/>
    <mergeCell ref="C61:C62"/>
    <mergeCell ref="D61:D62"/>
    <mergeCell ref="E61:E62"/>
    <mergeCell ref="F61:F62"/>
    <mergeCell ref="B78:B79"/>
    <mergeCell ref="C78:C79"/>
    <mergeCell ref="D78:D79"/>
    <mergeCell ref="E78:E79"/>
    <mergeCell ref="F78:F79"/>
    <mergeCell ref="G32:G33"/>
    <mergeCell ref="H32:H33"/>
    <mergeCell ref="I32:I33"/>
    <mergeCell ref="J32:J33"/>
    <mergeCell ref="G78:G79"/>
    <mergeCell ref="H78:H79"/>
    <mergeCell ref="I78:I79"/>
    <mergeCell ref="J78:J79"/>
    <mergeCell ref="G61:G62"/>
    <mergeCell ref="H61:H62"/>
    <mergeCell ref="I61:I62"/>
    <mergeCell ref="J61:J62"/>
    <mergeCell ref="F2:F3"/>
    <mergeCell ref="J2:J3"/>
    <mergeCell ref="H2:H3"/>
    <mergeCell ref="I2:I3"/>
    <mergeCell ref="G2:G3"/>
    <mergeCell ref="B2:B3"/>
    <mergeCell ref="C2:C3"/>
    <mergeCell ref="D2:D3"/>
    <mergeCell ref="E2:E3"/>
    <mergeCell ref="B32:B33"/>
    <mergeCell ref="C32:C33"/>
    <mergeCell ref="D32:D33"/>
    <mergeCell ref="E32:E33"/>
    <mergeCell ref="B68:B69"/>
    <mergeCell ref="C68:C69"/>
    <mergeCell ref="D68:D69"/>
    <mergeCell ref="E68:E69"/>
    <mergeCell ref="A32:A33"/>
    <mergeCell ref="F68:F69"/>
    <mergeCell ref="G68:G69"/>
    <mergeCell ref="H68:H69"/>
    <mergeCell ref="I68:I69"/>
    <mergeCell ref="J68:J69"/>
  </mergeCells>
  <pageMargins left="0.70866141732283472" right="0.70866141732283472" top="0.6" bottom="0.47244094488188981" header="0.31496062992125984" footer="0.47244094488188981"/>
  <pageSetup paperSize="9" scale="70" orientation="landscape" r:id="rId1"/>
  <headerFooter>
    <oddHeader>&amp;CFIDEICOMISO FONDO DE AYUDA, ASISTENCIA Y REPARACIÓN DE DAÑO A LAS VÍCTIMAS Y OFENDIDOS, PARA EL ESTADO DE TLAXCALA
&amp;"-,Negrita"RELACIÓN DE INVENTARIOS</oddHeader>
    <oddFooter>&amp;C&amp;P</oddFooter>
  </headerFooter>
</worksheet>
</file>

<file path=xl/worksheets/sheet5.xml><?xml version="1.0" encoding="utf-8"?>
<worksheet xmlns="http://schemas.openxmlformats.org/spreadsheetml/2006/main" xmlns:r="http://schemas.openxmlformats.org/officeDocument/2006/relationships">
  <dimension ref="A1:IU352"/>
  <sheetViews>
    <sheetView view="pageBreakPreview" topLeftCell="A319" zoomScale="80" zoomScaleNormal="80" zoomScaleSheetLayoutView="80" workbookViewId="0">
      <selection activeCell="A318" sqref="A318:A320"/>
    </sheetView>
  </sheetViews>
  <sheetFormatPr baseColWidth="10" defaultRowHeight="30" customHeight="1"/>
  <cols>
    <col min="1" max="1" width="15.5703125" style="2" customWidth="1"/>
    <col min="2" max="2" width="36.140625" style="2" customWidth="1"/>
    <col min="3" max="3" width="13" style="2" customWidth="1"/>
    <col min="4" max="4" width="24.42578125" style="2" customWidth="1"/>
    <col min="5" max="5" width="28" style="2" customWidth="1"/>
    <col min="6" max="6" width="12.42578125" style="2" customWidth="1"/>
    <col min="7" max="7" width="12.140625" style="2" customWidth="1"/>
    <col min="8" max="8" width="14.5703125" style="2" customWidth="1"/>
    <col min="9" max="9" width="18" style="2" customWidth="1"/>
    <col min="10" max="10" width="17.42578125" style="2" customWidth="1"/>
    <col min="11" max="11" width="3" style="2" hidden="1" customWidth="1"/>
    <col min="12" max="12" width="11.42578125" style="2" hidden="1" customWidth="1"/>
    <col min="13" max="13" width="1.85546875" style="2" hidden="1" customWidth="1"/>
    <col min="14" max="14" width="2.5703125" style="2" hidden="1" customWidth="1"/>
    <col min="15" max="15" width="11.42578125" style="2" hidden="1" customWidth="1"/>
    <col min="16" max="16" width="21.7109375" style="2" customWidth="1"/>
    <col min="17" max="255" width="11.42578125" style="2"/>
    <col min="256" max="256" width="7.7109375" style="2" customWidth="1"/>
    <col min="257" max="257" width="52.5703125" style="2" customWidth="1"/>
    <col min="258" max="258" width="32.28515625" style="2" customWidth="1"/>
    <col min="259" max="260" width="11.42578125" style="2"/>
    <col min="261" max="261" width="14.140625" style="2" customWidth="1"/>
    <col min="262" max="262" width="0" style="2" hidden="1" customWidth="1"/>
    <col min="263" max="511" width="11.42578125" style="2"/>
    <col min="512" max="512" width="7.7109375" style="2" customWidth="1"/>
    <col min="513" max="513" width="52.5703125" style="2" customWidth="1"/>
    <col min="514" max="514" width="32.28515625" style="2" customWidth="1"/>
    <col min="515" max="516" width="11.42578125" style="2"/>
    <col min="517" max="517" width="14.140625" style="2" customWidth="1"/>
    <col min="518" max="518" width="0" style="2" hidden="1" customWidth="1"/>
    <col min="519" max="767" width="11.42578125" style="2"/>
    <col min="768" max="768" width="7.7109375" style="2" customWidth="1"/>
    <col min="769" max="769" width="52.5703125" style="2" customWidth="1"/>
    <col min="770" max="770" width="32.28515625" style="2" customWidth="1"/>
    <col min="771" max="772" width="11.42578125" style="2"/>
    <col min="773" max="773" width="14.140625" style="2" customWidth="1"/>
    <col min="774" max="774" width="0" style="2" hidden="1" customWidth="1"/>
    <col min="775" max="1023" width="11.42578125" style="2"/>
    <col min="1024" max="1024" width="7.7109375" style="2" customWidth="1"/>
    <col min="1025" max="1025" width="52.5703125" style="2" customWidth="1"/>
    <col min="1026" max="1026" width="32.28515625" style="2" customWidth="1"/>
    <col min="1027" max="1028" width="11.42578125" style="2"/>
    <col min="1029" max="1029" width="14.140625" style="2" customWidth="1"/>
    <col min="1030" max="1030" width="0" style="2" hidden="1" customWidth="1"/>
    <col min="1031" max="1279" width="11.42578125" style="2"/>
    <col min="1280" max="1280" width="7.7109375" style="2" customWidth="1"/>
    <col min="1281" max="1281" width="52.5703125" style="2" customWidth="1"/>
    <col min="1282" max="1282" width="32.28515625" style="2" customWidth="1"/>
    <col min="1283" max="1284" width="11.42578125" style="2"/>
    <col min="1285" max="1285" width="14.140625" style="2" customWidth="1"/>
    <col min="1286" max="1286" width="0" style="2" hidden="1" customWidth="1"/>
    <col min="1287" max="1535" width="11.42578125" style="2"/>
    <col min="1536" max="1536" width="7.7109375" style="2" customWidth="1"/>
    <col min="1537" max="1537" width="52.5703125" style="2" customWidth="1"/>
    <col min="1538" max="1538" width="32.28515625" style="2" customWidth="1"/>
    <col min="1539" max="1540" width="11.42578125" style="2"/>
    <col min="1541" max="1541" width="14.140625" style="2" customWidth="1"/>
    <col min="1542" max="1542" width="0" style="2" hidden="1" customWidth="1"/>
    <col min="1543" max="1791" width="11.42578125" style="2"/>
    <col min="1792" max="1792" width="7.7109375" style="2" customWidth="1"/>
    <col min="1793" max="1793" width="52.5703125" style="2" customWidth="1"/>
    <col min="1794" max="1794" width="32.28515625" style="2" customWidth="1"/>
    <col min="1795" max="1796" width="11.42578125" style="2"/>
    <col min="1797" max="1797" width="14.140625" style="2" customWidth="1"/>
    <col min="1798" max="1798" width="0" style="2" hidden="1" customWidth="1"/>
    <col min="1799" max="2047" width="11.42578125" style="2"/>
    <col min="2048" max="2048" width="7.7109375" style="2" customWidth="1"/>
    <col min="2049" max="2049" width="52.5703125" style="2" customWidth="1"/>
    <col min="2050" max="2050" width="32.28515625" style="2" customWidth="1"/>
    <col min="2051" max="2052" width="11.42578125" style="2"/>
    <col min="2053" max="2053" width="14.140625" style="2" customWidth="1"/>
    <col min="2054" max="2054" width="0" style="2" hidden="1" customWidth="1"/>
    <col min="2055" max="2303" width="11.42578125" style="2"/>
    <col min="2304" max="2304" width="7.7109375" style="2" customWidth="1"/>
    <col min="2305" max="2305" width="52.5703125" style="2" customWidth="1"/>
    <col min="2306" max="2306" width="32.28515625" style="2" customWidth="1"/>
    <col min="2307" max="2308" width="11.42578125" style="2"/>
    <col min="2309" max="2309" width="14.140625" style="2" customWidth="1"/>
    <col min="2310" max="2310" width="0" style="2" hidden="1" customWidth="1"/>
    <col min="2311" max="2559" width="11.42578125" style="2"/>
    <col min="2560" max="2560" width="7.7109375" style="2" customWidth="1"/>
    <col min="2561" max="2561" width="52.5703125" style="2" customWidth="1"/>
    <col min="2562" max="2562" width="32.28515625" style="2" customWidth="1"/>
    <col min="2563" max="2564" width="11.42578125" style="2"/>
    <col min="2565" max="2565" width="14.140625" style="2" customWidth="1"/>
    <col min="2566" max="2566" width="0" style="2" hidden="1" customWidth="1"/>
    <col min="2567" max="2815" width="11.42578125" style="2"/>
    <col min="2816" max="2816" width="7.7109375" style="2" customWidth="1"/>
    <col min="2817" max="2817" width="52.5703125" style="2" customWidth="1"/>
    <col min="2818" max="2818" width="32.28515625" style="2" customWidth="1"/>
    <col min="2819" max="2820" width="11.42578125" style="2"/>
    <col min="2821" max="2821" width="14.140625" style="2" customWidth="1"/>
    <col min="2822" max="2822" width="0" style="2" hidden="1" customWidth="1"/>
    <col min="2823" max="3071" width="11.42578125" style="2"/>
    <col min="3072" max="3072" width="7.7109375" style="2" customWidth="1"/>
    <col min="3073" max="3073" width="52.5703125" style="2" customWidth="1"/>
    <col min="3074" max="3074" width="32.28515625" style="2" customWidth="1"/>
    <col min="3075" max="3076" width="11.42578125" style="2"/>
    <col min="3077" max="3077" width="14.140625" style="2" customWidth="1"/>
    <col min="3078" max="3078" width="0" style="2" hidden="1" customWidth="1"/>
    <col min="3079" max="3327" width="11.42578125" style="2"/>
    <col min="3328" max="3328" width="7.7109375" style="2" customWidth="1"/>
    <col min="3329" max="3329" width="52.5703125" style="2" customWidth="1"/>
    <col min="3330" max="3330" width="32.28515625" style="2" customWidth="1"/>
    <col min="3331" max="3332" width="11.42578125" style="2"/>
    <col min="3333" max="3333" width="14.140625" style="2" customWidth="1"/>
    <col min="3334" max="3334" width="0" style="2" hidden="1" customWidth="1"/>
    <col min="3335" max="3583" width="11.42578125" style="2"/>
    <col min="3584" max="3584" width="7.7109375" style="2" customWidth="1"/>
    <col min="3585" max="3585" width="52.5703125" style="2" customWidth="1"/>
    <col min="3586" max="3586" width="32.28515625" style="2" customWidth="1"/>
    <col min="3587" max="3588" width="11.42578125" style="2"/>
    <col min="3589" max="3589" width="14.140625" style="2" customWidth="1"/>
    <col min="3590" max="3590" width="0" style="2" hidden="1" customWidth="1"/>
    <col min="3591" max="3839" width="11.42578125" style="2"/>
    <col min="3840" max="3840" width="7.7109375" style="2" customWidth="1"/>
    <col min="3841" max="3841" width="52.5703125" style="2" customWidth="1"/>
    <col min="3842" max="3842" width="32.28515625" style="2" customWidth="1"/>
    <col min="3843" max="3844" width="11.42578125" style="2"/>
    <col min="3845" max="3845" width="14.140625" style="2" customWidth="1"/>
    <col min="3846" max="3846" width="0" style="2" hidden="1" customWidth="1"/>
    <col min="3847" max="4095" width="11.42578125" style="2"/>
    <col min="4096" max="4096" width="7.7109375" style="2" customWidth="1"/>
    <col min="4097" max="4097" width="52.5703125" style="2" customWidth="1"/>
    <col min="4098" max="4098" width="32.28515625" style="2" customWidth="1"/>
    <col min="4099" max="4100" width="11.42578125" style="2"/>
    <col min="4101" max="4101" width="14.140625" style="2" customWidth="1"/>
    <col min="4102" max="4102" width="0" style="2" hidden="1" customWidth="1"/>
    <col min="4103" max="4351" width="11.42578125" style="2"/>
    <col min="4352" max="4352" width="7.7109375" style="2" customWidth="1"/>
    <col min="4353" max="4353" width="52.5703125" style="2" customWidth="1"/>
    <col min="4354" max="4354" width="32.28515625" style="2" customWidth="1"/>
    <col min="4355" max="4356" width="11.42578125" style="2"/>
    <col min="4357" max="4357" width="14.140625" style="2" customWidth="1"/>
    <col min="4358" max="4358" width="0" style="2" hidden="1" customWidth="1"/>
    <col min="4359" max="4607" width="11.42578125" style="2"/>
    <col min="4608" max="4608" width="7.7109375" style="2" customWidth="1"/>
    <col min="4609" max="4609" width="52.5703125" style="2" customWidth="1"/>
    <col min="4610" max="4610" width="32.28515625" style="2" customWidth="1"/>
    <col min="4611" max="4612" width="11.42578125" style="2"/>
    <col min="4613" max="4613" width="14.140625" style="2" customWidth="1"/>
    <col min="4614" max="4614" width="0" style="2" hidden="1" customWidth="1"/>
    <col min="4615" max="4863" width="11.42578125" style="2"/>
    <col min="4864" max="4864" width="7.7109375" style="2" customWidth="1"/>
    <col min="4865" max="4865" width="52.5703125" style="2" customWidth="1"/>
    <col min="4866" max="4866" width="32.28515625" style="2" customWidth="1"/>
    <col min="4867" max="4868" width="11.42578125" style="2"/>
    <col min="4869" max="4869" width="14.140625" style="2" customWidth="1"/>
    <col min="4870" max="4870" width="0" style="2" hidden="1" customWidth="1"/>
    <col min="4871" max="5119" width="11.42578125" style="2"/>
    <col min="5120" max="5120" width="7.7109375" style="2" customWidth="1"/>
    <col min="5121" max="5121" width="52.5703125" style="2" customWidth="1"/>
    <col min="5122" max="5122" width="32.28515625" style="2" customWidth="1"/>
    <col min="5123" max="5124" width="11.42578125" style="2"/>
    <col min="5125" max="5125" width="14.140625" style="2" customWidth="1"/>
    <col min="5126" max="5126" width="0" style="2" hidden="1" customWidth="1"/>
    <col min="5127" max="5375" width="11.42578125" style="2"/>
    <col min="5376" max="5376" width="7.7109375" style="2" customWidth="1"/>
    <col min="5377" max="5377" width="52.5703125" style="2" customWidth="1"/>
    <col min="5378" max="5378" width="32.28515625" style="2" customWidth="1"/>
    <col min="5379" max="5380" width="11.42578125" style="2"/>
    <col min="5381" max="5381" width="14.140625" style="2" customWidth="1"/>
    <col min="5382" max="5382" width="0" style="2" hidden="1" customWidth="1"/>
    <col min="5383" max="5631" width="11.42578125" style="2"/>
    <col min="5632" max="5632" width="7.7109375" style="2" customWidth="1"/>
    <col min="5633" max="5633" width="52.5703125" style="2" customWidth="1"/>
    <col min="5634" max="5634" width="32.28515625" style="2" customWidth="1"/>
    <col min="5635" max="5636" width="11.42578125" style="2"/>
    <col min="5637" max="5637" width="14.140625" style="2" customWidth="1"/>
    <col min="5638" max="5638" width="0" style="2" hidden="1" customWidth="1"/>
    <col min="5639" max="5887" width="11.42578125" style="2"/>
    <col min="5888" max="5888" width="7.7109375" style="2" customWidth="1"/>
    <col min="5889" max="5889" width="52.5703125" style="2" customWidth="1"/>
    <col min="5890" max="5890" width="32.28515625" style="2" customWidth="1"/>
    <col min="5891" max="5892" width="11.42578125" style="2"/>
    <col min="5893" max="5893" width="14.140625" style="2" customWidth="1"/>
    <col min="5894" max="5894" width="0" style="2" hidden="1" customWidth="1"/>
    <col min="5895" max="6143" width="11.42578125" style="2"/>
    <col min="6144" max="6144" width="7.7109375" style="2" customWidth="1"/>
    <col min="6145" max="6145" width="52.5703125" style="2" customWidth="1"/>
    <col min="6146" max="6146" width="32.28515625" style="2" customWidth="1"/>
    <col min="6147" max="6148" width="11.42578125" style="2"/>
    <col min="6149" max="6149" width="14.140625" style="2" customWidth="1"/>
    <col min="6150" max="6150" width="0" style="2" hidden="1" customWidth="1"/>
    <col min="6151" max="6399" width="11.42578125" style="2"/>
    <col min="6400" max="6400" width="7.7109375" style="2" customWidth="1"/>
    <col min="6401" max="6401" width="52.5703125" style="2" customWidth="1"/>
    <col min="6402" max="6402" width="32.28515625" style="2" customWidth="1"/>
    <col min="6403" max="6404" width="11.42578125" style="2"/>
    <col min="6405" max="6405" width="14.140625" style="2" customWidth="1"/>
    <col min="6406" max="6406" width="0" style="2" hidden="1" customWidth="1"/>
    <col min="6407" max="6655" width="11.42578125" style="2"/>
    <col min="6656" max="6656" width="7.7109375" style="2" customWidth="1"/>
    <col min="6657" max="6657" width="52.5703125" style="2" customWidth="1"/>
    <col min="6658" max="6658" width="32.28515625" style="2" customWidth="1"/>
    <col min="6659" max="6660" width="11.42578125" style="2"/>
    <col min="6661" max="6661" width="14.140625" style="2" customWidth="1"/>
    <col min="6662" max="6662" width="0" style="2" hidden="1" customWidth="1"/>
    <col min="6663" max="6911" width="11.42578125" style="2"/>
    <col min="6912" max="6912" width="7.7109375" style="2" customWidth="1"/>
    <col min="6913" max="6913" width="52.5703125" style="2" customWidth="1"/>
    <col min="6914" max="6914" width="32.28515625" style="2" customWidth="1"/>
    <col min="6915" max="6916" width="11.42578125" style="2"/>
    <col min="6917" max="6917" width="14.140625" style="2" customWidth="1"/>
    <col min="6918" max="6918" width="0" style="2" hidden="1" customWidth="1"/>
    <col min="6919" max="7167" width="11.42578125" style="2"/>
    <col min="7168" max="7168" width="7.7109375" style="2" customWidth="1"/>
    <col min="7169" max="7169" width="52.5703125" style="2" customWidth="1"/>
    <col min="7170" max="7170" width="32.28515625" style="2" customWidth="1"/>
    <col min="7171" max="7172" width="11.42578125" style="2"/>
    <col min="7173" max="7173" width="14.140625" style="2" customWidth="1"/>
    <col min="7174" max="7174" width="0" style="2" hidden="1" customWidth="1"/>
    <col min="7175" max="7423" width="11.42578125" style="2"/>
    <col min="7424" max="7424" width="7.7109375" style="2" customWidth="1"/>
    <col min="7425" max="7425" width="52.5703125" style="2" customWidth="1"/>
    <col min="7426" max="7426" width="32.28515625" style="2" customWidth="1"/>
    <col min="7427" max="7428" width="11.42578125" style="2"/>
    <col min="7429" max="7429" width="14.140625" style="2" customWidth="1"/>
    <col min="7430" max="7430" width="0" style="2" hidden="1" customWidth="1"/>
    <col min="7431" max="7679" width="11.42578125" style="2"/>
    <col min="7680" max="7680" width="7.7109375" style="2" customWidth="1"/>
    <col min="7681" max="7681" width="52.5703125" style="2" customWidth="1"/>
    <col min="7682" max="7682" width="32.28515625" style="2" customWidth="1"/>
    <col min="7683" max="7684" width="11.42578125" style="2"/>
    <col min="7685" max="7685" width="14.140625" style="2" customWidth="1"/>
    <col min="7686" max="7686" width="0" style="2" hidden="1" customWidth="1"/>
    <col min="7687" max="7935" width="11.42578125" style="2"/>
    <col min="7936" max="7936" width="7.7109375" style="2" customWidth="1"/>
    <col min="7937" max="7937" width="52.5703125" style="2" customWidth="1"/>
    <col min="7938" max="7938" width="32.28515625" style="2" customWidth="1"/>
    <col min="7939" max="7940" width="11.42578125" style="2"/>
    <col min="7941" max="7941" width="14.140625" style="2" customWidth="1"/>
    <col min="7942" max="7942" width="0" style="2" hidden="1" customWidth="1"/>
    <col min="7943" max="8191" width="11.42578125" style="2"/>
    <col min="8192" max="8192" width="7.7109375" style="2" customWidth="1"/>
    <col min="8193" max="8193" width="52.5703125" style="2" customWidth="1"/>
    <col min="8194" max="8194" width="32.28515625" style="2" customWidth="1"/>
    <col min="8195" max="8196" width="11.42578125" style="2"/>
    <col min="8197" max="8197" width="14.140625" style="2" customWidth="1"/>
    <col min="8198" max="8198" width="0" style="2" hidden="1" customWidth="1"/>
    <col min="8199" max="8447" width="11.42578125" style="2"/>
    <col min="8448" max="8448" width="7.7109375" style="2" customWidth="1"/>
    <col min="8449" max="8449" width="52.5703125" style="2" customWidth="1"/>
    <col min="8450" max="8450" width="32.28515625" style="2" customWidth="1"/>
    <col min="8451" max="8452" width="11.42578125" style="2"/>
    <col min="8453" max="8453" width="14.140625" style="2" customWidth="1"/>
    <col min="8454" max="8454" width="0" style="2" hidden="1" customWidth="1"/>
    <col min="8455" max="8703" width="11.42578125" style="2"/>
    <col min="8704" max="8704" width="7.7109375" style="2" customWidth="1"/>
    <col min="8705" max="8705" width="52.5703125" style="2" customWidth="1"/>
    <col min="8706" max="8706" width="32.28515625" style="2" customWidth="1"/>
    <col min="8707" max="8708" width="11.42578125" style="2"/>
    <col min="8709" max="8709" width="14.140625" style="2" customWidth="1"/>
    <col min="8710" max="8710" width="0" style="2" hidden="1" customWidth="1"/>
    <col min="8711" max="8959" width="11.42578125" style="2"/>
    <col min="8960" max="8960" width="7.7109375" style="2" customWidth="1"/>
    <col min="8961" max="8961" width="52.5703125" style="2" customWidth="1"/>
    <col min="8962" max="8962" width="32.28515625" style="2" customWidth="1"/>
    <col min="8963" max="8964" width="11.42578125" style="2"/>
    <col min="8965" max="8965" width="14.140625" style="2" customWidth="1"/>
    <col min="8966" max="8966" width="0" style="2" hidden="1" customWidth="1"/>
    <col min="8967" max="9215" width="11.42578125" style="2"/>
    <col min="9216" max="9216" width="7.7109375" style="2" customWidth="1"/>
    <col min="9217" max="9217" width="52.5703125" style="2" customWidth="1"/>
    <col min="9218" max="9218" width="32.28515625" style="2" customWidth="1"/>
    <col min="9219" max="9220" width="11.42578125" style="2"/>
    <col min="9221" max="9221" width="14.140625" style="2" customWidth="1"/>
    <col min="9222" max="9222" width="0" style="2" hidden="1" customWidth="1"/>
    <col min="9223" max="9471" width="11.42578125" style="2"/>
    <col min="9472" max="9472" width="7.7109375" style="2" customWidth="1"/>
    <col min="9473" max="9473" width="52.5703125" style="2" customWidth="1"/>
    <col min="9474" max="9474" width="32.28515625" style="2" customWidth="1"/>
    <col min="9475" max="9476" width="11.42578125" style="2"/>
    <col min="9477" max="9477" width="14.140625" style="2" customWidth="1"/>
    <col min="9478" max="9478" width="0" style="2" hidden="1" customWidth="1"/>
    <col min="9479" max="9727" width="11.42578125" style="2"/>
    <col min="9728" max="9728" width="7.7109375" style="2" customWidth="1"/>
    <col min="9729" max="9729" width="52.5703125" style="2" customWidth="1"/>
    <col min="9730" max="9730" width="32.28515625" style="2" customWidth="1"/>
    <col min="9731" max="9732" width="11.42578125" style="2"/>
    <col min="9733" max="9733" width="14.140625" style="2" customWidth="1"/>
    <col min="9734" max="9734" width="0" style="2" hidden="1" customWidth="1"/>
    <col min="9735" max="9983" width="11.42578125" style="2"/>
    <col min="9984" max="9984" width="7.7109375" style="2" customWidth="1"/>
    <col min="9985" max="9985" width="52.5703125" style="2" customWidth="1"/>
    <col min="9986" max="9986" width="32.28515625" style="2" customWidth="1"/>
    <col min="9987" max="9988" width="11.42578125" style="2"/>
    <col min="9989" max="9989" width="14.140625" style="2" customWidth="1"/>
    <col min="9990" max="9990" width="0" style="2" hidden="1" customWidth="1"/>
    <col min="9991" max="10239" width="11.42578125" style="2"/>
    <col min="10240" max="10240" width="7.7109375" style="2" customWidth="1"/>
    <col min="10241" max="10241" width="52.5703125" style="2" customWidth="1"/>
    <col min="10242" max="10242" width="32.28515625" style="2" customWidth="1"/>
    <col min="10243" max="10244" width="11.42578125" style="2"/>
    <col min="10245" max="10245" width="14.140625" style="2" customWidth="1"/>
    <col min="10246" max="10246" width="0" style="2" hidden="1" customWidth="1"/>
    <col min="10247" max="10495" width="11.42578125" style="2"/>
    <col min="10496" max="10496" width="7.7109375" style="2" customWidth="1"/>
    <col min="10497" max="10497" width="52.5703125" style="2" customWidth="1"/>
    <col min="10498" max="10498" width="32.28515625" style="2" customWidth="1"/>
    <col min="10499" max="10500" width="11.42578125" style="2"/>
    <col min="10501" max="10501" width="14.140625" style="2" customWidth="1"/>
    <col min="10502" max="10502" width="0" style="2" hidden="1" customWidth="1"/>
    <col min="10503" max="10751" width="11.42578125" style="2"/>
    <col min="10752" max="10752" width="7.7109375" style="2" customWidth="1"/>
    <col min="10753" max="10753" width="52.5703125" style="2" customWidth="1"/>
    <col min="10754" max="10754" width="32.28515625" style="2" customWidth="1"/>
    <col min="10755" max="10756" width="11.42578125" style="2"/>
    <col min="10757" max="10757" width="14.140625" style="2" customWidth="1"/>
    <col min="10758" max="10758" width="0" style="2" hidden="1" customWidth="1"/>
    <col min="10759" max="11007" width="11.42578125" style="2"/>
    <col min="11008" max="11008" width="7.7109375" style="2" customWidth="1"/>
    <col min="11009" max="11009" width="52.5703125" style="2" customWidth="1"/>
    <col min="11010" max="11010" width="32.28515625" style="2" customWidth="1"/>
    <col min="11011" max="11012" width="11.42578125" style="2"/>
    <col min="11013" max="11013" width="14.140625" style="2" customWidth="1"/>
    <col min="11014" max="11014" width="0" style="2" hidden="1" customWidth="1"/>
    <col min="11015" max="11263" width="11.42578125" style="2"/>
    <col min="11264" max="11264" width="7.7109375" style="2" customWidth="1"/>
    <col min="11265" max="11265" width="52.5703125" style="2" customWidth="1"/>
    <col min="11266" max="11266" width="32.28515625" style="2" customWidth="1"/>
    <col min="11267" max="11268" width="11.42578125" style="2"/>
    <col min="11269" max="11269" width="14.140625" style="2" customWidth="1"/>
    <col min="11270" max="11270" width="0" style="2" hidden="1" customWidth="1"/>
    <col min="11271" max="11519" width="11.42578125" style="2"/>
    <col min="11520" max="11520" width="7.7109375" style="2" customWidth="1"/>
    <col min="11521" max="11521" width="52.5703125" style="2" customWidth="1"/>
    <col min="11522" max="11522" width="32.28515625" style="2" customWidth="1"/>
    <col min="11523" max="11524" width="11.42578125" style="2"/>
    <col min="11525" max="11525" width="14.140625" style="2" customWidth="1"/>
    <col min="11526" max="11526" width="0" style="2" hidden="1" customWidth="1"/>
    <col min="11527" max="11775" width="11.42578125" style="2"/>
    <col min="11776" max="11776" width="7.7109375" style="2" customWidth="1"/>
    <col min="11777" max="11777" width="52.5703125" style="2" customWidth="1"/>
    <col min="11778" max="11778" width="32.28515625" style="2" customWidth="1"/>
    <col min="11779" max="11780" width="11.42578125" style="2"/>
    <col min="11781" max="11781" width="14.140625" style="2" customWidth="1"/>
    <col min="11782" max="11782" width="0" style="2" hidden="1" customWidth="1"/>
    <col min="11783" max="12031" width="11.42578125" style="2"/>
    <col min="12032" max="12032" width="7.7109375" style="2" customWidth="1"/>
    <col min="12033" max="12033" width="52.5703125" style="2" customWidth="1"/>
    <col min="12034" max="12034" width="32.28515625" style="2" customWidth="1"/>
    <col min="12035" max="12036" width="11.42578125" style="2"/>
    <col min="12037" max="12037" width="14.140625" style="2" customWidth="1"/>
    <col min="12038" max="12038" width="0" style="2" hidden="1" customWidth="1"/>
    <col min="12039" max="12287" width="11.42578125" style="2"/>
    <col min="12288" max="12288" width="7.7109375" style="2" customWidth="1"/>
    <col min="12289" max="12289" width="52.5703125" style="2" customWidth="1"/>
    <col min="12290" max="12290" width="32.28515625" style="2" customWidth="1"/>
    <col min="12291" max="12292" width="11.42578125" style="2"/>
    <col min="12293" max="12293" width="14.140625" style="2" customWidth="1"/>
    <col min="12294" max="12294" width="0" style="2" hidden="1" customWidth="1"/>
    <col min="12295" max="12543" width="11.42578125" style="2"/>
    <col min="12544" max="12544" width="7.7109375" style="2" customWidth="1"/>
    <col min="12545" max="12545" width="52.5703125" style="2" customWidth="1"/>
    <col min="12546" max="12546" width="32.28515625" style="2" customWidth="1"/>
    <col min="12547" max="12548" width="11.42578125" style="2"/>
    <col min="12549" max="12549" width="14.140625" style="2" customWidth="1"/>
    <col min="12550" max="12550" width="0" style="2" hidden="1" customWidth="1"/>
    <col min="12551" max="12799" width="11.42578125" style="2"/>
    <col min="12800" max="12800" width="7.7109375" style="2" customWidth="1"/>
    <col min="12801" max="12801" width="52.5703125" style="2" customWidth="1"/>
    <col min="12802" max="12802" width="32.28515625" style="2" customWidth="1"/>
    <col min="12803" max="12804" width="11.42578125" style="2"/>
    <col min="12805" max="12805" width="14.140625" style="2" customWidth="1"/>
    <col min="12806" max="12806" width="0" style="2" hidden="1" customWidth="1"/>
    <col min="12807" max="13055" width="11.42578125" style="2"/>
    <col min="13056" max="13056" width="7.7109375" style="2" customWidth="1"/>
    <col min="13057" max="13057" width="52.5703125" style="2" customWidth="1"/>
    <col min="13058" max="13058" width="32.28515625" style="2" customWidth="1"/>
    <col min="13059" max="13060" width="11.42578125" style="2"/>
    <col min="13061" max="13061" width="14.140625" style="2" customWidth="1"/>
    <col min="13062" max="13062" width="0" style="2" hidden="1" customWidth="1"/>
    <col min="13063" max="13311" width="11.42578125" style="2"/>
    <col min="13312" max="13312" width="7.7109375" style="2" customWidth="1"/>
    <col min="13313" max="13313" width="52.5703125" style="2" customWidth="1"/>
    <col min="13314" max="13314" width="32.28515625" style="2" customWidth="1"/>
    <col min="13315" max="13316" width="11.42578125" style="2"/>
    <col min="13317" max="13317" width="14.140625" style="2" customWidth="1"/>
    <col min="13318" max="13318" width="0" style="2" hidden="1" customWidth="1"/>
    <col min="13319" max="13567" width="11.42578125" style="2"/>
    <col min="13568" max="13568" width="7.7109375" style="2" customWidth="1"/>
    <col min="13569" max="13569" width="52.5703125" style="2" customWidth="1"/>
    <col min="13570" max="13570" width="32.28515625" style="2" customWidth="1"/>
    <col min="13571" max="13572" width="11.42578125" style="2"/>
    <col min="13573" max="13573" width="14.140625" style="2" customWidth="1"/>
    <col min="13574" max="13574" width="0" style="2" hidden="1" customWidth="1"/>
    <col min="13575" max="13823" width="11.42578125" style="2"/>
    <col min="13824" max="13824" width="7.7109375" style="2" customWidth="1"/>
    <col min="13825" max="13825" width="52.5703125" style="2" customWidth="1"/>
    <col min="13826" max="13826" width="32.28515625" style="2" customWidth="1"/>
    <col min="13827" max="13828" width="11.42578125" style="2"/>
    <col min="13829" max="13829" width="14.140625" style="2" customWidth="1"/>
    <col min="13830" max="13830" width="0" style="2" hidden="1" customWidth="1"/>
    <col min="13831" max="14079" width="11.42578125" style="2"/>
    <col min="14080" max="14080" width="7.7109375" style="2" customWidth="1"/>
    <col min="14081" max="14081" width="52.5703125" style="2" customWidth="1"/>
    <col min="14082" max="14082" width="32.28515625" style="2" customWidth="1"/>
    <col min="14083" max="14084" width="11.42578125" style="2"/>
    <col min="14085" max="14085" width="14.140625" style="2" customWidth="1"/>
    <col min="14086" max="14086" width="0" style="2" hidden="1" customWidth="1"/>
    <col min="14087" max="14335" width="11.42578125" style="2"/>
    <col min="14336" max="14336" width="7.7109375" style="2" customWidth="1"/>
    <col min="14337" max="14337" width="52.5703125" style="2" customWidth="1"/>
    <col min="14338" max="14338" width="32.28515625" style="2" customWidth="1"/>
    <col min="14339" max="14340" width="11.42578125" style="2"/>
    <col min="14341" max="14341" width="14.140625" style="2" customWidth="1"/>
    <col min="14342" max="14342" width="0" style="2" hidden="1" customWidth="1"/>
    <col min="14343" max="14591" width="11.42578125" style="2"/>
    <col min="14592" max="14592" width="7.7109375" style="2" customWidth="1"/>
    <col min="14593" max="14593" width="52.5703125" style="2" customWidth="1"/>
    <col min="14594" max="14594" width="32.28515625" style="2" customWidth="1"/>
    <col min="14595" max="14596" width="11.42578125" style="2"/>
    <col min="14597" max="14597" width="14.140625" style="2" customWidth="1"/>
    <col min="14598" max="14598" width="0" style="2" hidden="1" customWidth="1"/>
    <col min="14599" max="14847" width="11.42578125" style="2"/>
    <col min="14848" max="14848" width="7.7109375" style="2" customWidth="1"/>
    <col min="14849" max="14849" width="52.5703125" style="2" customWidth="1"/>
    <col min="14850" max="14850" width="32.28515625" style="2" customWidth="1"/>
    <col min="14851" max="14852" width="11.42578125" style="2"/>
    <col min="14853" max="14853" width="14.140625" style="2" customWidth="1"/>
    <col min="14854" max="14854" width="0" style="2" hidden="1" customWidth="1"/>
    <col min="14855" max="15103" width="11.42578125" style="2"/>
    <col min="15104" max="15104" width="7.7109375" style="2" customWidth="1"/>
    <col min="15105" max="15105" width="52.5703125" style="2" customWidth="1"/>
    <col min="15106" max="15106" width="32.28515625" style="2" customWidth="1"/>
    <col min="15107" max="15108" width="11.42578125" style="2"/>
    <col min="15109" max="15109" width="14.140625" style="2" customWidth="1"/>
    <col min="15110" max="15110" width="0" style="2" hidden="1" customWidth="1"/>
    <col min="15111" max="15359" width="11.42578125" style="2"/>
    <col min="15360" max="15360" width="7.7109375" style="2" customWidth="1"/>
    <col min="15361" max="15361" width="52.5703125" style="2" customWidth="1"/>
    <col min="15362" max="15362" width="32.28515625" style="2" customWidth="1"/>
    <col min="15363" max="15364" width="11.42578125" style="2"/>
    <col min="15365" max="15365" width="14.140625" style="2" customWidth="1"/>
    <col min="15366" max="15366" width="0" style="2" hidden="1" customWidth="1"/>
    <col min="15367" max="15615" width="11.42578125" style="2"/>
    <col min="15616" max="15616" width="7.7109375" style="2" customWidth="1"/>
    <col min="15617" max="15617" width="52.5703125" style="2" customWidth="1"/>
    <col min="15618" max="15618" width="32.28515625" style="2" customWidth="1"/>
    <col min="15619" max="15620" width="11.42578125" style="2"/>
    <col min="15621" max="15621" width="14.140625" style="2" customWidth="1"/>
    <col min="15622" max="15622" width="0" style="2" hidden="1" customWidth="1"/>
    <col min="15623" max="15871" width="11.42578125" style="2"/>
    <col min="15872" max="15872" width="7.7109375" style="2" customWidth="1"/>
    <col min="15873" max="15873" width="52.5703125" style="2" customWidth="1"/>
    <col min="15874" max="15874" width="32.28515625" style="2" customWidth="1"/>
    <col min="15875" max="15876" width="11.42578125" style="2"/>
    <col min="15877" max="15877" width="14.140625" style="2" customWidth="1"/>
    <col min="15878" max="15878" width="0" style="2" hidden="1" customWidth="1"/>
    <col min="15879" max="16127" width="11.42578125" style="2"/>
    <col min="16128" max="16128" width="7.7109375" style="2" customWidth="1"/>
    <col min="16129" max="16129" width="52.5703125" style="2" customWidth="1"/>
    <col min="16130" max="16130" width="32.28515625" style="2" customWidth="1"/>
    <col min="16131" max="16132" width="11.42578125" style="2"/>
    <col min="16133" max="16133" width="14.140625" style="2" customWidth="1"/>
    <col min="16134" max="16134" width="0" style="2" hidden="1" customWidth="1"/>
    <col min="16135" max="16384" width="11.42578125" style="2"/>
  </cols>
  <sheetData>
    <row r="1" spans="1:17" ht="15.75">
      <c r="A1" s="116"/>
      <c r="B1" s="146" t="s">
        <v>1015</v>
      </c>
      <c r="C1" s="116"/>
      <c r="D1" s="116"/>
      <c r="E1" s="116"/>
      <c r="F1" s="116"/>
      <c r="G1" s="116"/>
      <c r="H1" s="116"/>
      <c r="I1" s="116"/>
      <c r="J1" s="116"/>
      <c r="K1" s="116"/>
      <c r="L1" s="116"/>
      <c r="M1" s="116"/>
      <c r="N1" s="116"/>
      <c r="O1" s="116"/>
      <c r="P1" s="116"/>
    </row>
    <row r="2" spans="1:17" s="61" customFormat="1" ht="12">
      <c r="A2" s="194" t="s">
        <v>17</v>
      </c>
      <c r="B2" s="194" t="s">
        <v>19</v>
      </c>
      <c r="C2" s="194" t="s">
        <v>20</v>
      </c>
      <c r="D2" s="194" t="s">
        <v>21</v>
      </c>
      <c r="E2" s="194" t="s">
        <v>22</v>
      </c>
      <c r="F2" s="194" t="s">
        <v>23</v>
      </c>
      <c r="G2" s="194" t="s">
        <v>24</v>
      </c>
      <c r="H2" s="195" t="s">
        <v>25</v>
      </c>
      <c r="I2" s="195" t="s">
        <v>18</v>
      </c>
      <c r="J2" s="203" t="s">
        <v>470</v>
      </c>
      <c r="K2" s="167"/>
      <c r="L2" s="167"/>
      <c r="M2" s="167"/>
      <c r="N2" s="167"/>
      <c r="O2" s="167"/>
      <c r="P2" s="203" t="s">
        <v>1115</v>
      </c>
    </row>
    <row r="3" spans="1:17" s="61" customFormat="1" ht="13.5" customHeight="1">
      <c r="A3" s="194"/>
      <c r="B3" s="194"/>
      <c r="C3" s="194"/>
      <c r="D3" s="194"/>
      <c r="E3" s="194"/>
      <c r="F3" s="194"/>
      <c r="G3" s="194"/>
      <c r="H3" s="195"/>
      <c r="I3" s="195"/>
      <c r="J3" s="203"/>
      <c r="K3" s="167"/>
      <c r="L3" s="167"/>
      <c r="M3" s="167"/>
      <c r="N3" s="167"/>
      <c r="O3" s="167"/>
      <c r="P3" s="203"/>
    </row>
    <row r="4" spans="1:17" s="3" customFormat="1" ht="27.75" customHeight="1">
      <c r="A4" s="118" t="s">
        <v>745</v>
      </c>
      <c r="B4" s="32" t="s">
        <v>474</v>
      </c>
      <c r="C4" s="32" t="s">
        <v>746</v>
      </c>
      <c r="D4" s="119" t="s">
        <v>747</v>
      </c>
      <c r="E4" s="118" t="s">
        <v>371</v>
      </c>
      <c r="F4" s="119" t="s">
        <v>54</v>
      </c>
      <c r="G4" s="32">
        <v>5004</v>
      </c>
      <c r="H4" s="89">
        <f>591.3*1.15</f>
        <v>679.99499999999989</v>
      </c>
      <c r="I4" s="33" t="s">
        <v>1106</v>
      </c>
      <c r="J4" s="32" t="s">
        <v>1043</v>
      </c>
      <c r="K4" s="39"/>
      <c r="L4" s="39"/>
      <c r="M4" s="39"/>
      <c r="N4" s="39"/>
      <c r="O4" s="39"/>
      <c r="P4" s="38" t="s">
        <v>1118</v>
      </c>
      <c r="Q4" s="142"/>
    </row>
    <row r="5" spans="1:17" s="3" customFormat="1" ht="23.25" customHeight="1">
      <c r="A5" s="118" t="s">
        <v>748</v>
      </c>
      <c r="B5" s="32" t="s">
        <v>749</v>
      </c>
      <c r="C5" s="32" t="s">
        <v>329</v>
      </c>
      <c r="D5" s="119" t="s">
        <v>750</v>
      </c>
      <c r="E5" s="118" t="s">
        <v>751</v>
      </c>
      <c r="F5" s="119" t="s">
        <v>54</v>
      </c>
      <c r="G5" s="32">
        <v>5004</v>
      </c>
      <c r="H5" s="89">
        <f>1608.7*1.15</f>
        <v>1850.0049999999999</v>
      </c>
      <c r="I5" s="33" t="s">
        <v>1092</v>
      </c>
      <c r="J5" s="32" t="s">
        <v>1043</v>
      </c>
      <c r="K5" s="39"/>
      <c r="L5" s="39"/>
      <c r="M5" s="39"/>
      <c r="N5" s="39"/>
      <c r="O5" s="39"/>
      <c r="P5" s="38" t="s">
        <v>1116</v>
      </c>
    </row>
    <row r="6" spans="1:17" s="3" customFormat="1" ht="30" customHeight="1">
      <c r="A6" s="118" t="s">
        <v>753</v>
      </c>
      <c r="B6" s="32" t="s">
        <v>754</v>
      </c>
      <c r="C6" s="32" t="s">
        <v>746</v>
      </c>
      <c r="D6" s="119" t="s">
        <v>755</v>
      </c>
      <c r="E6" s="118" t="s">
        <v>756</v>
      </c>
      <c r="F6" s="119" t="s">
        <v>33</v>
      </c>
      <c r="G6" s="32">
        <v>5004</v>
      </c>
      <c r="H6" s="89">
        <f>1304.35*1.15</f>
        <v>1500.0024999999998</v>
      </c>
      <c r="I6" s="38" t="s">
        <v>1055</v>
      </c>
      <c r="J6" s="32" t="s">
        <v>1043</v>
      </c>
      <c r="K6" s="39"/>
      <c r="L6" s="39"/>
      <c r="M6" s="39"/>
      <c r="N6" s="39"/>
      <c r="O6" s="39"/>
      <c r="P6" s="33" t="s">
        <v>1117</v>
      </c>
    </row>
    <row r="7" spans="1:17" s="3" customFormat="1" ht="24" customHeight="1">
      <c r="A7" s="33" t="s">
        <v>1052</v>
      </c>
      <c r="B7" s="32" t="s">
        <v>979</v>
      </c>
      <c r="C7" s="32" t="s">
        <v>329</v>
      </c>
      <c r="D7" s="119" t="s">
        <v>460</v>
      </c>
      <c r="E7" s="118" t="s">
        <v>978</v>
      </c>
      <c r="F7" s="119" t="s">
        <v>33</v>
      </c>
      <c r="G7" s="32">
        <v>5004</v>
      </c>
      <c r="H7" s="89">
        <v>1700</v>
      </c>
      <c r="I7" s="38" t="s">
        <v>191</v>
      </c>
      <c r="J7" s="119" t="s">
        <v>1043</v>
      </c>
      <c r="K7" s="39"/>
      <c r="L7" s="39"/>
      <c r="M7" s="39"/>
      <c r="N7" s="39"/>
      <c r="O7" s="39"/>
      <c r="P7" s="33" t="s">
        <v>1117</v>
      </c>
    </row>
    <row r="8" spans="1:17" s="3" customFormat="1" ht="12">
      <c r="A8" s="118"/>
      <c r="B8" s="32"/>
      <c r="C8" s="32"/>
      <c r="D8" s="119"/>
      <c r="E8" s="118"/>
      <c r="F8" s="119"/>
      <c r="G8" s="32"/>
      <c r="H8" s="147">
        <f>SUM(H4:H7)</f>
        <v>5730.0024999999996</v>
      </c>
      <c r="I8" s="33"/>
      <c r="J8" s="32"/>
      <c r="K8" s="39"/>
      <c r="L8" s="39"/>
      <c r="M8" s="39"/>
      <c r="N8" s="39"/>
      <c r="O8" s="39"/>
      <c r="P8" s="39"/>
    </row>
    <row r="9" spans="1:17" s="3" customFormat="1" ht="12">
      <c r="A9" s="118"/>
      <c r="B9" s="32"/>
      <c r="C9" s="32"/>
      <c r="D9" s="119"/>
      <c r="E9" s="118"/>
      <c r="F9" s="119"/>
      <c r="G9" s="32"/>
      <c r="H9" s="147"/>
      <c r="I9" s="33"/>
      <c r="J9" s="32"/>
      <c r="K9" s="39"/>
      <c r="L9" s="39"/>
      <c r="M9" s="39"/>
      <c r="N9" s="39"/>
      <c r="O9" s="39"/>
      <c r="P9" s="39"/>
    </row>
    <row r="10" spans="1:17" s="8" customFormat="1" ht="12" customHeight="1">
      <c r="A10" s="194" t="s">
        <v>17</v>
      </c>
      <c r="B10" s="194" t="s">
        <v>19</v>
      </c>
      <c r="C10" s="194" t="s">
        <v>20</v>
      </c>
      <c r="D10" s="194" t="s">
        <v>21</v>
      </c>
      <c r="E10" s="194" t="s">
        <v>22</v>
      </c>
      <c r="F10" s="194" t="s">
        <v>23</v>
      </c>
      <c r="G10" s="194" t="s">
        <v>24</v>
      </c>
      <c r="H10" s="195" t="s">
        <v>25</v>
      </c>
      <c r="I10" s="195" t="s">
        <v>18</v>
      </c>
      <c r="J10" s="203" t="s">
        <v>470</v>
      </c>
      <c r="K10" s="167"/>
      <c r="L10" s="167"/>
      <c r="M10" s="167"/>
      <c r="N10" s="167"/>
      <c r="O10" s="167"/>
      <c r="P10" s="203" t="s">
        <v>1115</v>
      </c>
    </row>
    <row r="11" spans="1:17" s="8" customFormat="1" ht="12">
      <c r="A11" s="194"/>
      <c r="B11" s="194"/>
      <c r="C11" s="194"/>
      <c r="D11" s="194"/>
      <c r="E11" s="194"/>
      <c r="F11" s="194"/>
      <c r="G11" s="194"/>
      <c r="H11" s="195"/>
      <c r="I11" s="195"/>
      <c r="J11" s="203"/>
      <c r="K11" s="167"/>
      <c r="L11" s="167"/>
      <c r="M11" s="167"/>
      <c r="N11" s="167"/>
      <c r="O11" s="167"/>
      <c r="P11" s="203"/>
    </row>
    <row r="12" spans="1:17" s="3" customFormat="1" ht="30" customHeight="1">
      <c r="A12" s="118" t="s">
        <v>752</v>
      </c>
      <c r="B12" s="32" t="s">
        <v>760</v>
      </c>
      <c r="C12" s="32" t="s">
        <v>30</v>
      </c>
      <c r="D12" s="119" t="s">
        <v>757</v>
      </c>
      <c r="E12" s="118" t="s">
        <v>758</v>
      </c>
      <c r="F12" s="119" t="s">
        <v>184</v>
      </c>
      <c r="G12" s="32" t="s">
        <v>759</v>
      </c>
      <c r="H12" s="89">
        <v>2399</v>
      </c>
      <c r="I12" s="33" t="s">
        <v>1091</v>
      </c>
      <c r="J12" s="32" t="s">
        <v>1043</v>
      </c>
      <c r="K12" s="39"/>
      <c r="L12" s="39"/>
      <c r="M12" s="39"/>
      <c r="N12" s="39"/>
      <c r="O12" s="39"/>
      <c r="P12" s="38" t="s">
        <v>1116</v>
      </c>
    </row>
    <row r="13" spans="1:17" s="3" customFormat="1" ht="27.75" customHeight="1">
      <c r="A13" s="118" t="s">
        <v>761</v>
      </c>
      <c r="B13" s="32" t="s">
        <v>763</v>
      </c>
      <c r="C13" s="32" t="s">
        <v>30</v>
      </c>
      <c r="D13" s="119" t="s">
        <v>764</v>
      </c>
      <c r="E13" s="118" t="s">
        <v>34</v>
      </c>
      <c r="F13" s="119" t="s">
        <v>54</v>
      </c>
      <c r="G13" s="32" t="s">
        <v>759</v>
      </c>
      <c r="H13" s="89">
        <v>999</v>
      </c>
      <c r="I13" s="33" t="s">
        <v>1091</v>
      </c>
      <c r="J13" s="32" t="s">
        <v>1043</v>
      </c>
      <c r="K13" s="39"/>
      <c r="L13" s="39"/>
      <c r="M13" s="39"/>
      <c r="N13" s="39"/>
      <c r="O13" s="39"/>
      <c r="P13" s="38" t="s">
        <v>1116</v>
      </c>
    </row>
    <row r="14" spans="1:17" s="3" customFormat="1" ht="36" customHeight="1">
      <c r="A14" s="118" t="s">
        <v>762</v>
      </c>
      <c r="B14" s="32" t="s">
        <v>765</v>
      </c>
      <c r="C14" s="32" t="s">
        <v>766</v>
      </c>
      <c r="D14" s="119"/>
      <c r="E14" s="118" t="s">
        <v>767</v>
      </c>
      <c r="F14" s="119" t="s">
        <v>54</v>
      </c>
      <c r="G14" s="32" t="s">
        <v>759</v>
      </c>
      <c r="H14" s="89">
        <v>899</v>
      </c>
      <c r="I14" s="33" t="s">
        <v>1091</v>
      </c>
      <c r="J14" s="32" t="s">
        <v>1043</v>
      </c>
      <c r="K14" s="39"/>
      <c r="L14" s="39"/>
      <c r="M14" s="39"/>
      <c r="N14" s="39"/>
      <c r="O14" s="39"/>
      <c r="P14" s="38" t="s">
        <v>1116</v>
      </c>
    </row>
    <row r="15" spans="1:17" s="3" customFormat="1" ht="12">
      <c r="A15" s="118"/>
      <c r="B15" s="32"/>
      <c r="C15" s="32"/>
      <c r="D15" s="119"/>
      <c r="E15" s="118"/>
      <c r="F15" s="119"/>
      <c r="G15" s="32"/>
      <c r="H15" s="148">
        <f>SUM(H12:H14)</f>
        <v>4297</v>
      </c>
      <c r="I15" s="38"/>
      <c r="J15" s="32"/>
      <c r="K15" s="39"/>
      <c r="L15" s="39"/>
      <c r="M15" s="39"/>
      <c r="N15" s="39"/>
      <c r="O15" s="39"/>
      <c r="P15" s="39"/>
    </row>
    <row r="16" spans="1:17" s="3" customFormat="1" ht="12">
      <c r="A16" s="118"/>
      <c r="B16" s="32"/>
      <c r="C16" s="32"/>
      <c r="D16" s="119"/>
      <c r="E16" s="118"/>
      <c r="F16" s="119"/>
      <c r="G16" s="32"/>
      <c r="H16" s="148"/>
      <c r="I16" s="38"/>
      <c r="J16" s="32"/>
      <c r="K16" s="39"/>
      <c r="L16" s="39"/>
      <c r="M16" s="39"/>
      <c r="N16" s="39"/>
      <c r="O16" s="39"/>
      <c r="P16" s="39"/>
    </row>
    <row r="17" spans="1:17" s="8" customFormat="1" ht="12" customHeight="1">
      <c r="A17" s="194" t="s">
        <v>17</v>
      </c>
      <c r="B17" s="194" t="s">
        <v>19</v>
      </c>
      <c r="C17" s="194" t="s">
        <v>20</v>
      </c>
      <c r="D17" s="194" t="s">
        <v>21</v>
      </c>
      <c r="E17" s="194" t="s">
        <v>22</v>
      </c>
      <c r="F17" s="194" t="s">
        <v>23</v>
      </c>
      <c r="G17" s="194" t="s">
        <v>24</v>
      </c>
      <c r="H17" s="195" t="s">
        <v>25</v>
      </c>
      <c r="I17" s="195" t="s">
        <v>18</v>
      </c>
      <c r="J17" s="203" t="s">
        <v>470</v>
      </c>
      <c r="K17" s="167"/>
      <c r="L17" s="167"/>
      <c r="M17" s="167"/>
      <c r="N17" s="167"/>
      <c r="O17" s="167"/>
      <c r="P17" s="203" t="s">
        <v>1115</v>
      </c>
    </row>
    <row r="18" spans="1:17" s="8" customFormat="1" ht="12">
      <c r="A18" s="194"/>
      <c r="B18" s="194"/>
      <c r="C18" s="194"/>
      <c r="D18" s="194"/>
      <c r="E18" s="194"/>
      <c r="F18" s="194"/>
      <c r="G18" s="194"/>
      <c r="H18" s="195"/>
      <c r="I18" s="195"/>
      <c r="J18" s="203"/>
      <c r="K18" s="167"/>
      <c r="L18" s="167"/>
      <c r="M18" s="167"/>
      <c r="N18" s="167"/>
      <c r="O18" s="167"/>
      <c r="P18" s="203"/>
    </row>
    <row r="19" spans="1:17" s="3" customFormat="1" ht="30" customHeight="1">
      <c r="A19" s="118" t="s">
        <v>769</v>
      </c>
      <c r="B19" s="32" t="s">
        <v>770</v>
      </c>
      <c r="C19" s="32" t="s">
        <v>37</v>
      </c>
      <c r="D19" s="119"/>
      <c r="E19" s="118" t="s">
        <v>768</v>
      </c>
      <c r="F19" s="119" t="s">
        <v>184</v>
      </c>
      <c r="G19" s="32">
        <v>531</v>
      </c>
      <c r="H19" s="89">
        <v>420.32</v>
      </c>
      <c r="I19" s="38" t="s">
        <v>771</v>
      </c>
      <c r="J19" s="32" t="s">
        <v>1043</v>
      </c>
      <c r="K19" s="39"/>
      <c r="L19" s="39"/>
      <c r="M19" s="39"/>
      <c r="N19" s="39"/>
      <c r="O19" s="39"/>
      <c r="P19" s="33" t="s">
        <v>1117</v>
      </c>
    </row>
    <row r="20" spans="1:17" s="3" customFormat="1" ht="24">
      <c r="A20" s="118" t="s">
        <v>415</v>
      </c>
      <c r="B20" s="119" t="s">
        <v>772</v>
      </c>
      <c r="C20" s="32" t="s">
        <v>37</v>
      </c>
      <c r="D20" s="119"/>
      <c r="E20" s="118" t="s">
        <v>416</v>
      </c>
      <c r="F20" s="119" t="s">
        <v>54</v>
      </c>
      <c r="G20" s="32">
        <v>21</v>
      </c>
      <c r="H20" s="89">
        <f>2465*1.15</f>
        <v>2834.75</v>
      </c>
      <c r="I20" s="33" t="s">
        <v>1091</v>
      </c>
      <c r="J20" s="32" t="s">
        <v>1043</v>
      </c>
      <c r="K20" s="39"/>
      <c r="L20" s="39"/>
      <c r="M20" s="39"/>
      <c r="N20" s="39"/>
      <c r="O20" s="39"/>
      <c r="P20" s="38" t="s">
        <v>1116</v>
      </c>
    </row>
    <row r="21" spans="1:17" s="3" customFormat="1" ht="30" customHeight="1">
      <c r="A21" s="118" t="s">
        <v>773</v>
      </c>
      <c r="B21" s="32" t="s">
        <v>776</v>
      </c>
      <c r="C21" s="32" t="s">
        <v>37</v>
      </c>
      <c r="D21" s="119"/>
      <c r="E21" s="118" t="s">
        <v>774</v>
      </c>
      <c r="F21" s="119" t="s">
        <v>54</v>
      </c>
      <c r="G21" s="32">
        <v>21</v>
      </c>
      <c r="H21" s="89">
        <f>425*1.15</f>
        <v>488.74999999999994</v>
      </c>
      <c r="I21" s="33" t="s">
        <v>1054</v>
      </c>
      <c r="J21" s="32" t="s">
        <v>1043</v>
      </c>
      <c r="K21" s="39"/>
      <c r="L21" s="39"/>
      <c r="M21" s="39"/>
      <c r="N21" s="39"/>
      <c r="O21" s="39"/>
      <c r="P21" s="33" t="s">
        <v>1117</v>
      </c>
    </row>
    <row r="22" spans="1:17" s="3" customFormat="1" ht="30" customHeight="1">
      <c r="A22" s="118" t="s">
        <v>777</v>
      </c>
      <c r="B22" s="32" t="s">
        <v>775</v>
      </c>
      <c r="C22" s="32" t="s">
        <v>37</v>
      </c>
      <c r="D22" s="119"/>
      <c r="E22" s="118" t="s">
        <v>774</v>
      </c>
      <c r="F22" s="119" t="s">
        <v>184</v>
      </c>
      <c r="G22" s="32">
        <v>21</v>
      </c>
      <c r="H22" s="89">
        <f>340*1.15</f>
        <v>390.99999999999994</v>
      </c>
      <c r="I22" s="38" t="s">
        <v>1055</v>
      </c>
      <c r="J22" s="32" t="s">
        <v>1043</v>
      </c>
      <c r="K22" s="39"/>
      <c r="L22" s="39"/>
      <c r="M22" s="39"/>
      <c r="N22" s="39"/>
      <c r="O22" s="39"/>
      <c r="P22" s="33" t="s">
        <v>1117</v>
      </c>
    </row>
    <row r="23" spans="1:17" s="3" customFormat="1" ht="12">
      <c r="A23" s="118"/>
      <c r="B23" s="32"/>
      <c r="C23" s="32"/>
      <c r="D23" s="119"/>
      <c r="E23" s="118"/>
      <c r="F23" s="119"/>
      <c r="G23" s="32"/>
      <c r="H23" s="149">
        <f>SUM(H19:H22)</f>
        <v>4134.82</v>
      </c>
      <c r="I23" s="38"/>
      <c r="J23" s="32"/>
      <c r="K23" s="39"/>
      <c r="L23" s="39"/>
      <c r="M23" s="39"/>
      <c r="N23" s="39"/>
      <c r="O23" s="39"/>
      <c r="P23" s="39"/>
    </row>
    <row r="24" spans="1:17" s="3" customFormat="1" ht="12">
      <c r="A24" s="118"/>
      <c r="B24" s="32"/>
      <c r="C24" s="32"/>
      <c r="D24" s="119"/>
      <c r="E24" s="118"/>
      <c r="F24" s="119"/>
      <c r="G24" s="32"/>
      <c r="H24" s="149"/>
      <c r="I24" s="38"/>
      <c r="J24" s="32"/>
      <c r="K24" s="39"/>
      <c r="L24" s="39"/>
      <c r="M24" s="39"/>
      <c r="N24" s="39"/>
      <c r="O24" s="39"/>
      <c r="P24" s="39"/>
    </row>
    <row r="25" spans="1:17" s="1" customFormat="1" ht="11.25" customHeight="1">
      <c r="A25" s="194" t="s">
        <v>17</v>
      </c>
      <c r="B25" s="194" t="s">
        <v>19</v>
      </c>
      <c r="C25" s="194" t="s">
        <v>20</v>
      </c>
      <c r="D25" s="206" t="s">
        <v>115</v>
      </c>
      <c r="E25" s="207"/>
      <c r="F25" s="194" t="s">
        <v>23</v>
      </c>
      <c r="G25" s="194" t="s">
        <v>24</v>
      </c>
      <c r="H25" s="195" t="s">
        <v>25</v>
      </c>
      <c r="I25" s="195" t="s">
        <v>18</v>
      </c>
      <c r="J25" s="203" t="s">
        <v>470</v>
      </c>
      <c r="K25" s="167"/>
      <c r="L25" s="167"/>
      <c r="M25" s="167"/>
      <c r="N25" s="167"/>
      <c r="O25" s="167"/>
      <c r="P25" s="203" t="s">
        <v>1115</v>
      </c>
      <c r="Q25" s="7"/>
    </row>
    <row r="26" spans="1:17" s="1" customFormat="1" ht="15" customHeight="1">
      <c r="A26" s="194"/>
      <c r="B26" s="194"/>
      <c r="C26" s="194"/>
      <c r="D26" s="208"/>
      <c r="E26" s="209"/>
      <c r="F26" s="194"/>
      <c r="G26" s="194"/>
      <c r="H26" s="195"/>
      <c r="I26" s="195"/>
      <c r="J26" s="203"/>
      <c r="K26" s="167"/>
      <c r="L26" s="167"/>
      <c r="M26" s="167"/>
      <c r="N26" s="167"/>
      <c r="O26" s="167"/>
      <c r="P26" s="203"/>
    </row>
    <row r="27" spans="1:17" ht="33.75" customHeight="1">
      <c r="A27" s="118" t="s">
        <v>322</v>
      </c>
      <c r="B27" s="32" t="s">
        <v>168</v>
      </c>
      <c r="C27" s="32">
        <v>1</v>
      </c>
      <c r="D27" s="211" t="s">
        <v>127</v>
      </c>
      <c r="E27" s="211"/>
      <c r="F27" s="119" t="s">
        <v>184</v>
      </c>
      <c r="G27" s="32">
        <v>742</v>
      </c>
      <c r="H27" s="89">
        <f>1434.78*1.15</f>
        <v>1649.9969999999998</v>
      </c>
      <c r="I27" s="38" t="s">
        <v>1091</v>
      </c>
      <c r="J27" s="32" t="s">
        <v>1043</v>
      </c>
      <c r="K27" s="116"/>
      <c r="L27" s="116"/>
      <c r="M27" s="116"/>
      <c r="N27" s="116"/>
      <c r="O27" s="116"/>
      <c r="P27" s="38" t="s">
        <v>1116</v>
      </c>
    </row>
    <row r="28" spans="1:17" ht="45" customHeight="1">
      <c r="A28" s="118" t="s">
        <v>786</v>
      </c>
      <c r="B28" s="32" t="s">
        <v>167</v>
      </c>
      <c r="C28" s="32">
        <v>2</v>
      </c>
      <c r="D28" s="211" t="s">
        <v>127</v>
      </c>
      <c r="E28" s="211"/>
      <c r="F28" s="119" t="s">
        <v>54</v>
      </c>
      <c r="G28" s="32">
        <v>742</v>
      </c>
      <c r="H28" s="89">
        <f>728.7*1.15</f>
        <v>838.005</v>
      </c>
      <c r="I28" s="38" t="s">
        <v>1091</v>
      </c>
      <c r="J28" s="32" t="s">
        <v>1043</v>
      </c>
      <c r="K28" s="116"/>
      <c r="L28" s="116"/>
      <c r="M28" s="116"/>
      <c r="N28" s="116"/>
      <c r="O28" s="116"/>
      <c r="P28" s="38" t="s">
        <v>1116</v>
      </c>
    </row>
    <row r="29" spans="1:17" ht="32.25" customHeight="1">
      <c r="A29" s="118" t="s">
        <v>321</v>
      </c>
      <c r="B29" s="119" t="s">
        <v>169</v>
      </c>
      <c r="C29" s="32">
        <v>1</v>
      </c>
      <c r="D29" s="211" t="s">
        <v>127</v>
      </c>
      <c r="E29" s="211"/>
      <c r="F29" s="119" t="s">
        <v>54</v>
      </c>
      <c r="G29" s="32">
        <v>742</v>
      </c>
      <c r="H29" s="89">
        <f>2800*1.15</f>
        <v>3219.9999999999995</v>
      </c>
      <c r="I29" s="38" t="s">
        <v>1091</v>
      </c>
      <c r="J29" s="32" t="s">
        <v>1043</v>
      </c>
      <c r="K29" s="116"/>
      <c r="L29" s="116"/>
      <c r="M29" s="116"/>
      <c r="N29" s="116"/>
      <c r="O29" s="116"/>
      <c r="P29" s="38" t="s">
        <v>1116</v>
      </c>
    </row>
    <row r="30" spans="1:17" ht="30" customHeight="1">
      <c r="A30" s="118" t="s">
        <v>318</v>
      </c>
      <c r="B30" s="32" t="s">
        <v>170</v>
      </c>
      <c r="C30" s="32">
        <v>1</v>
      </c>
      <c r="D30" s="211" t="s">
        <v>127</v>
      </c>
      <c r="E30" s="211"/>
      <c r="F30" s="119" t="s">
        <v>54</v>
      </c>
      <c r="G30" s="32">
        <v>742</v>
      </c>
      <c r="H30" s="89">
        <v>340</v>
      </c>
      <c r="I30" s="38" t="s">
        <v>1091</v>
      </c>
      <c r="J30" s="32" t="s">
        <v>1043</v>
      </c>
      <c r="K30" s="116"/>
      <c r="L30" s="116"/>
      <c r="M30" s="116"/>
      <c r="N30" s="116"/>
      <c r="O30" s="116"/>
      <c r="P30" s="38" t="s">
        <v>1116</v>
      </c>
    </row>
    <row r="31" spans="1:17" ht="33" customHeight="1">
      <c r="A31" s="118" t="s">
        <v>324</v>
      </c>
      <c r="B31" s="32" t="s">
        <v>170</v>
      </c>
      <c r="C31" s="32">
        <v>1</v>
      </c>
      <c r="D31" s="211" t="s">
        <v>127</v>
      </c>
      <c r="E31" s="211"/>
      <c r="F31" s="119" t="s">
        <v>54</v>
      </c>
      <c r="G31" s="32">
        <v>742</v>
      </c>
      <c r="H31" s="89">
        <v>340</v>
      </c>
      <c r="I31" s="38" t="s">
        <v>1091</v>
      </c>
      <c r="J31" s="32" t="s">
        <v>1043</v>
      </c>
      <c r="K31" s="116"/>
      <c r="L31" s="116"/>
      <c r="M31" s="116"/>
      <c r="N31" s="116"/>
      <c r="O31" s="116"/>
      <c r="P31" s="38" t="s">
        <v>1116</v>
      </c>
    </row>
    <row r="32" spans="1:17" ht="30" customHeight="1">
      <c r="A32" s="118" t="s">
        <v>320</v>
      </c>
      <c r="B32" s="119" t="s">
        <v>171</v>
      </c>
      <c r="C32" s="32">
        <v>1</v>
      </c>
      <c r="D32" s="211" t="s">
        <v>127</v>
      </c>
      <c r="E32" s="211"/>
      <c r="F32" s="119" t="s">
        <v>184</v>
      </c>
      <c r="G32" s="32">
        <v>742</v>
      </c>
      <c r="H32" s="89">
        <f>1495.65*1.15</f>
        <v>1719.9974999999999</v>
      </c>
      <c r="I32" s="38" t="s">
        <v>1091</v>
      </c>
      <c r="J32" s="32" t="s">
        <v>1043</v>
      </c>
      <c r="K32" s="116"/>
      <c r="L32" s="116"/>
      <c r="M32" s="116"/>
      <c r="N32" s="116"/>
      <c r="O32" s="116"/>
      <c r="P32" s="38" t="s">
        <v>1116</v>
      </c>
    </row>
    <row r="33" spans="1:17" s="1" customFormat="1" ht="28.5" customHeight="1">
      <c r="A33" s="118" t="s">
        <v>779</v>
      </c>
      <c r="B33" s="32" t="s">
        <v>129</v>
      </c>
      <c r="C33" s="32">
        <v>50</v>
      </c>
      <c r="D33" s="211" t="s">
        <v>127</v>
      </c>
      <c r="E33" s="211"/>
      <c r="F33" s="119" t="s">
        <v>54</v>
      </c>
      <c r="G33" s="32">
        <v>742</v>
      </c>
      <c r="H33" s="89">
        <f>295.5*1.15</f>
        <v>339.82499999999999</v>
      </c>
      <c r="I33" s="38" t="s">
        <v>1106</v>
      </c>
      <c r="J33" s="32" t="s">
        <v>1043</v>
      </c>
      <c r="K33" s="150"/>
      <c r="L33" s="150"/>
      <c r="M33" s="150"/>
      <c r="N33" s="150"/>
      <c r="O33" s="150"/>
      <c r="P33" s="38" t="s">
        <v>1118</v>
      </c>
      <c r="Q33" s="111"/>
    </row>
    <row r="34" spans="1:17" ht="34.5" customHeight="1">
      <c r="A34" s="118" t="s">
        <v>779</v>
      </c>
      <c r="B34" s="32" t="s">
        <v>172</v>
      </c>
      <c r="C34" s="32">
        <v>3</v>
      </c>
      <c r="D34" s="211" t="s">
        <v>127</v>
      </c>
      <c r="E34" s="211"/>
      <c r="F34" s="119" t="s">
        <v>54</v>
      </c>
      <c r="G34" s="32">
        <v>742</v>
      </c>
      <c r="H34" s="89">
        <f>143.49*1.15</f>
        <v>165.01349999999999</v>
      </c>
      <c r="I34" s="38" t="s">
        <v>1106</v>
      </c>
      <c r="J34" s="32" t="s">
        <v>1043</v>
      </c>
      <c r="K34" s="116"/>
      <c r="L34" s="116"/>
      <c r="M34" s="116"/>
      <c r="N34" s="116"/>
      <c r="O34" s="116"/>
      <c r="P34" s="38" t="s">
        <v>1118</v>
      </c>
    </row>
    <row r="35" spans="1:17" s="1" customFormat="1" ht="24">
      <c r="A35" s="118" t="s">
        <v>779</v>
      </c>
      <c r="B35" s="32" t="s">
        <v>130</v>
      </c>
      <c r="C35" s="32">
        <v>1</v>
      </c>
      <c r="D35" s="211" t="s">
        <v>127</v>
      </c>
      <c r="E35" s="211"/>
      <c r="F35" s="119" t="s">
        <v>54</v>
      </c>
      <c r="G35" s="32">
        <v>742</v>
      </c>
      <c r="H35" s="89">
        <f>73.91*1.15</f>
        <v>84.996499999999983</v>
      </c>
      <c r="I35" s="38" t="s">
        <v>1109</v>
      </c>
      <c r="J35" s="32" t="s">
        <v>1043</v>
      </c>
      <c r="K35" s="150"/>
      <c r="L35" s="150"/>
      <c r="M35" s="150"/>
      <c r="N35" s="150"/>
      <c r="O35" s="150"/>
      <c r="P35" s="33" t="s">
        <v>1117</v>
      </c>
    </row>
    <row r="36" spans="1:17" s="1" customFormat="1" ht="24">
      <c r="A36" s="118" t="s">
        <v>779</v>
      </c>
      <c r="B36" s="32" t="s">
        <v>778</v>
      </c>
      <c r="C36" s="32">
        <v>1</v>
      </c>
      <c r="D36" s="211" t="s">
        <v>127</v>
      </c>
      <c r="E36" s="211"/>
      <c r="F36" s="119" t="s">
        <v>54</v>
      </c>
      <c r="G36" s="32">
        <v>742</v>
      </c>
      <c r="H36" s="89">
        <f>67.83*1.15</f>
        <v>78.004499999999993</v>
      </c>
      <c r="I36" s="38" t="s">
        <v>1109</v>
      </c>
      <c r="J36" s="32" t="s">
        <v>1043</v>
      </c>
      <c r="K36" s="150"/>
      <c r="L36" s="150"/>
      <c r="M36" s="150"/>
      <c r="N36" s="150"/>
      <c r="O36" s="150"/>
      <c r="P36" s="33" t="s">
        <v>1117</v>
      </c>
    </row>
    <row r="37" spans="1:17" s="1" customFormat="1" ht="24">
      <c r="A37" s="118" t="s">
        <v>779</v>
      </c>
      <c r="B37" s="32" t="s">
        <v>131</v>
      </c>
      <c r="C37" s="32">
        <v>1</v>
      </c>
      <c r="D37" s="211" t="s">
        <v>127</v>
      </c>
      <c r="E37" s="211"/>
      <c r="F37" s="119" t="s">
        <v>54</v>
      </c>
      <c r="G37" s="32">
        <v>742</v>
      </c>
      <c r="H37" s="89">
        <f>56.52*1.15</f>
        <v>64.998000000000005</v>
      </c>
      <c r="I37" s="38" t="s">
        <v>1109</v>
      </c>
      <c r="J37" s="32" t="s">
        <v>1043</v>
      </c>
      <c r="K37" s="150"/>
      <c r="L37" s="150"/>
      <c r="M37" s="150"/>
      <c r="N37" s="150"/>
      <c r="O37" s="150"/>
      <c r="P37" s="33" t="s">
        <v>1117</v>
      </c>
    </row>
    <row r="38" spans="1:17" s="7" customFormat="1" ht="18" customHeight="1">
      <c r="A38" s="115"/>
      <c r="B38" s="151"/>
      <c r="C38" s="151"/>
      <c r="D38" s="211"/>
      <c r="E38" s="211"/>
      <c r="F38" s="150"/>
      <c r="G38" s="150"/>
      <c r="H38" s="149">
        <f>SUM(H27:H37)</f>
        <v>8840.8369999999977</v>
      </c>
      <c r="I38" s="152"/>
      <c r="J38" s="150"/>
      <c r="K38" s="152"/>
      <c r="L38" s="150"/>
      <c r="M38" s="150"/>
      <c r="N38" s="150"/>
      <c r="O38" s="150"/>
      <c r="P38" s="150"/>
    </row>
    <row r="39" spans="1:17" s="7" customFormat="1" ht="18" customHeight="1">
      <c r="A39" s="115"/>
      <c r="B39" s="151"/>
      <c r="C39" s="151"/>
      <c r="D39" s="211"/>
      <c r="E39" s="211"/>
      <c r="F39" s="150"/>
      <c r="G39" s="150"/>
      <c r="H39" s="149"/>
      <c r="I39" s="152"/>
      <c r="J39" s="150"/>
      <c r="K39" s="152"/>
      <c r="L39" s="150"/>
      <c r="M39" s="150"/>
      <c r="N39" s="150"/>
      <c r="O39" s="150"/>
      <c r="P39" s="150"/>
    </row>
    <row r="40" spans="1:17" s="7" customFormat="1" ht="18" customHeight="1">
      <c r="A40" s="115"/>
      <c r="B40" s="151"/>
      <c r="C40" s="151"/>
      <c r="D40" s="211"/>
      <c r="E40" s="211"/>
      <c r="F40" s="150"/>
      <c r="G40" s="150"/>
      <c r="H40" s="149"/>
      <c r="I40" s="152"/>
      <c r="J40" s="150"/>
      <c r="K40" s="152"/>
      <c r="L40" s="150"/>
      <c r="M40" s="150"/>
      <c r="N40" s="150"/>
      <c r="O40" s="150"/>
      <c r="P40" s="150"/>
    </row>
    <row r="41" spans="1:17" s="1" customFormat="1" ht="11.25" customHeight="1">
      <c r="A41" s="194" t="s">
        <v>17</v>
      </c>
      <c r="B41" s="194" t="s">
        <v>19</v>
      </c>
      <c r="C41" s="194" t="s">
        <v>20</v>
      </c>
      <c r="D41" s="206" t="s">
        <v>115</v>
      </c>
      <c r="E41" s="207"/>
      <c r="F41" s="194" t="s">
        <v>23</v>
      </c>
      <c r="G41" s="194" t="s">
        <v>24</v>
      </c>
      <c r="H41" s="195" t="s">
        <v>25</v>
      </c>
      <c r="I41" s="195" t="s">
        <v>18</v>
      </c>
      <c r="J41" s="203" t="s">
        <v>470</v>
      </c>
      <c r="K41" s="167"/>
      <c r="L41" s="167"/>
      <c r="M41" s="167"/>
      <c r="N41" s="167"/>
      <c r="O41" s="167"/>
      <c r="P41" s="203" t="s">
        <v>1115</v>
      </c>
      <c r="Q41" s="7"/>
    </row>
    <row r="42" spans="1:17" s="1" customFormat="1" ht="15" customHeight="1">
      <c r="A42" s="194"/>
      <c r="B42" s="194"/>
      <c r="C42" s="194"/>
      <c r="D42" s="208"/>
      <c r="E42" s="209"/>
      <c r="F42" s="194"/>
      <c r="G42" s="194"/>
      <c r="H42" s="195"/>
      <c r="I42" s="195"/>
      <c r="J42" s="203"/>
      <c r="K42" s="167"/>
      <c r="L42" s="167"/>
      <c r="M42" s="167"/>
      <c r="N42" s="167"/>
      <c r="O42" s="167"/>
      <c r="P42" s="203"/>
    </row>
    <row r="43" spans="1:17" s="1" customFormat="1" ht="26.25" customHeight="1">
      <c r="A43" s="118" t="s">
        <v>779</v>
      </c>
      <c r="B43" s="32" t="s">
        <v>132</v>
      </c>
      <c r="C43" s="32">
        <v>2</v>
      </c>
      <c r="D43" s="211" t="s">
        <v>127</v>
      </c>
      <c r="E43" s="211"/>
      <c r="F43" s="119" t="s">
        <v>785</v>
      </c>
      <c r="G43" s="32">
        <v>752</v>
      </c>
      <c r="H43" s="89">
        <f>622.61*1.15</f>
        <v>716.00149999999996</v>
      </c>
      <c r="I43" s="38" t="s">
        <v>789</v>
      </c>
      <c r="J43" s="32" t="s">
        <v>1043</v>
      </c>
      <c r="K43" s="150"/>
      <c r="L43" s="150"/>
      <c r="M43" s="150"/>
      <c r="N43" s="150"/>
      <c r="O43" s="150"/>
      <c r="P43" s="38" t="s">
        <v>1113</v>
      </c>
    </row>
    <row r="44" spans="1:17" s="1" customFormat="1" ht="28.5" customHeight="1">
      <c r="A44" s="118" t="s">
        <v>779</v>
      </c>
      <c r="B44" s="32" t="s">
        <v>133</v>
      </c>
      <c r="C44" s="32">
        <v>3</v>
      </c>
      <c r="D44" s="211" t="s">
        <v>127</v>
      </c>
      <c r="E44" s="211"/>
      <c r="F44" s="119" t="s">
        <v>54</v>
      </c>
      <c r="G44" s="32">
        <v>752</v>
      </c>
      <c r="H44" s="89">
        <f>229.56*1.15</f>
        <v>263.99399999999997</v>
      </c>
      <c r="I44" s="38" t="s">
        <v>1106</v>
      </c>
      <c r="J44" s="32" t="s">
        <v>1043</v>
      </c>
      <c r="K44" s="150"/>
      <c r="L44" s="150"/>
      <c r="M44" s="150"/>
      <c r="N44" s="150"/>
      <c r="O44" s="150"/>
      <c r="P44" s="38" t="s">
        <v>1118</v>
      </c>
      <c r="Q44" s="111"/>
    </row>
    <row r="45" spans="1:17" s="1" customFormat="1" ht="16.5" customHeight="1">
      <c r="A45" s="118" t="s">
        <v>779</v>
      </c>
      <c r="B45" s="32" t="s">
        <v>134</v>
      </c>
      <c r="C45" s="32">
        <v>2</v>
      </c>
      <c r="D45" s="211" t="s">
        <v>127</v>
      </c>
      <c r="E45" s="211"/>
      <c r="F45" s="119" t="s">
        <v>54</v>
      </c>
      <c r="G45" s="32">
        <v>752</v>
      </c>
      <c r="H45" s="89">
        <f>1339.14*1.15</f>
        <v>1540.011</v>
      </c>
      <c r="I45" s="38" t="s">
        <v>221</v>
      </c>
      <c r="J45" s="32" t="s">
        <v>1043</v>
      </c>
      <c r="K45" s="150"/>
      <c r="L45" s="150"/>
      <c r="M45" s="150"/>
      <c r="N45" s="150"/>
      <c r="O45" s="150"/>
      <c r="P45" s="33" t="s">
        <v>1117</v>
      </c>
    </row>
    <row r="46" spans="1:17" s="1" customFormat="1" ht="24" customHeight="1">
      <c r="A46" s="118" t="s">
        <v>779</v>
      </c>
      <c r="B46" s="32" t="s">
        <v>126</v>
      </c>
      <c r="C46" s="32">
        <v>5</v>
      </c>
      <c r="D46" s="211" t="s">
        <v>127</v>
      </c>
      <c r="E46" s="211"/>
      <c r="F46" s="119" t="s">
        <v>54</v>
      </c>
      <c r="G46" s="32">
        <v>752</v>
      </c>
      <c r="H46" s="89">
        <f>730*1.15</f>
        <v>839.49999999999989</v>
      </c>
      <c r="I46" s="38" t="s">
        <v>1106</v>
      </c>
      <c r="J46" s="32" t="s">
        <v>1043</v>
      </c>
      <c r="K46" s="150"/>
      <c r="L46" s="150"/>
      <c r="M46" s="150"/>
      <c r="N46" s="150"/>
      <c r="O46" s="150"/>
      <c r="P46" s="38" t="s">
        <v>1118</v>
      </c>
    </row>
    <row r="47" spans="1:17" s="1" customFormat="1" ht="23.25" customHeight="1">
      <c r="A47" s="118" t="s">
        <v>779</v>
      </c>
      <c r="B47" s="32" t="s">
        <v>135</v>
      </c>
      <c r="C47" s="32">
        <v>10</v>
      </c>
      <c r="D47" s="211" t="s">
        <v>127</v>
      </c>
      <c r="E47" s="211"/>
      <c r="F47" s="119" t="s">
        <v>54</v>
      </c>
      <c r="G47" s="32">
        <v>752</v>
      </c>
      <c r="H47" s="89">
        <f>173.9*1.15</f>
        <v>199.98499999999999</v>
      </c>
      <c r="I47" s="38" t="s">
        <v>1106</v>
      </c>
      <c r="J47" s="32" t="s">
        <v>1043</v>
      </c>
      <c r="K47" s="150"/>
      <c r="L47" s="150"/>
      <c r="M47" s="150"/>
      <c r="N47" s="150"/>
      <c r="O47" s="150"/>
      <c r="P47" s="38" t="s">
        <v>1118</v>
      </c>
    </row>
    <row r="48" spans="1:17" s="1" customFormat="1" ht="25.5" customHeight="1">
      <c r="A48" s="118" t="s">
        <v>779</v>
      </c>
      <c r="B48" s="32" t="s">
        <v>136</v>
      </c>
      <c r="C48" s="32">
        <v>100</v>
      </c>
      <c r="D48" s="211" t="s">
        <v>127</v>
      </c>
      <c r="E48" s="211"/>
      <c r="F48" s="119" t="s">
        <v>54</v>
      </c>
      <c r="G48" s="32">
        <v>752</v>
      </c>
      <c r="H48" s="89">
        <f>348*1.15</f>
        <v>400.2</v>
      </c>
      <c r="I48" s="38" t="s">
        <v>1106</v>
      </c>
      <c r="J48" s="32" t="s">
        <v>1043</v>
      </c>
      <c r="K48" s="150"/>
      <c r="L48" s="150"/>
      <c r="M48" s="150"/>
      <c r="N48" s="150"/>
      <c r="O48" s="150"/>
      <c r="P48" s="38" t="s">
        <v>1118</v>
      </c>
    </row>
    <row r="49" spans="1:17" s="1" customFormat="1" ht="26.25" customHeight="1">
      <c r="A49" s="118" t="s">
        <v>779</v>
      </c>
      <c r="B49" s="32" t="s">
        <v>137</v>
      </c>
      <c r="C49" s="32">
        <v>10</v>
      </c>
      <c r="D49" s="211" t="s">
        <v>127</v>
      </c>
      <c r="E49" s="211"/>
      <c r="F49" s="119" t="s">
        <v>1114</v>
      </c>
      <c r="G49" s="32">
        <v>752</v>
      </c>
      <c r="H49" s="89">
        <f>43.5*1.15</f>
        <v>50.024999999999999</v>
      </c>
      <c r="I49" s="38" t="s">
        <v>788</v>
      </c>
      <c r="J49" s="32" t="s">
        <v>1043</v>
      </c>
      <c r="K49" s="150"/>
      <c r="L49" s="150"/>
      <c r="M49" s="150"/>
      <c r="N49" s="150"/>
      <c r="O49" s="150"/>
      <c r="P49" s="38" t="s">
        <v>1118</v>
      </c>
    </row>
    <row r="50" spans="1:17" s="1" customFormat="1" ht="20.25" customHeight="1">
      <c r="A50" s="118" t="s">
        <v>779</v>
      </c>
      <c r="B50" s="32" t="s">
        <v>138</v>
      </c>
      <c r="C50" s="32">
        <v>2</v>
      </c>
      <c r="D50" s="211" t="s">
        <v>127</v>
      </c>
      <c r="E50" s="211"/>
      <c r="F50" s="119" t="s">
        <v>54</v>
      </c>
      <c r="G50" s="32">
        <v>752</v>
      </c>
      <c r="H50" s="89">
        <f>66.08*1.15</f>
        <v>75.99199999999999</v>
      </c>
      <c r="I50" s="38" t="s">
        <v>221</v>
      </c>
      <c r="J50" s="32" t="s">
        <v>1043</v>
      </c>
      <c r="K50" s="150"/>
      <c r="L50" s="150"/>
      <c r="M50" s="150"/>
      <c r="N50" s="150"/>
      <c r="O50" s="150"/>
      <c r="P50" s="33" t="s">
        <v>1117</v>
      </c>
    </row>
    <row r="51" spans="1:17" s="60" customFormat="1" ht="27.75" customHeight="1">
      <c r="A51" s="118" t="s">
        <v>779</v>
      </c>
      <c r="B51" s="32" t="s">
        <v>165</v>
      </c>
      <c r="C51" s="32">
        <v>3</v>
      </c>
      <c r="D51" s="211" t="s">
        <v>127</v>
      </c>
      <c r="E51" s="211"/>
      <c r="F51" s="119" t="s">
        <v>54</v>
      </c>
      <c r="G51" s="32">
        <v>752</v>
      </c>
      <c r="H51" s="89">
        <f>1147.82*1.15</f>
        <v>1319.9929999999999</v>
      </c>
      <c r="I51" s="38" t="s">
        <v>1106</v>
      </c>
      <c r="J51" s="32" t="s">
        <v>1043</v>
      </c>
      <c r="K51" s="153"/>
      <c r="L51" s="153"/>
      <c r="M51" s="153"/>
      <c r="N51" s="153"/>
      <c r="O51" s="153"/>
      <c r="P51" s="38" t="s">
        <v>1118</v>
      </c>
    </row>
    <row r="52" spans="1:17" s="1" customFormat="1" ht="30" customHeight="1">
      <c r="A52" s="118" t="s">
        <v>779</v>
      </c>
      <c r="B52" s="32" t="s">
        <v>139</v>
      </c>
      <c r="C52" s="32">
        <v>50</v>
      </c>
      <c r="D52" s="211" t="s">
        <v>127</v>
      </c>
      <c r="E52" s="211"/>
      <c r="F52" s="119" t="s">
        <v>54</v>
      </c>
      <c r="G52" s="32">
        <v>752</v>
      </c>
      <c r="H52" s="89">
        <f>339*1.15</f>
        <v>389.84999999999997</v>
      </c>
      <c r="I52" s="38" t="s">
        <v>1106</v>
      </c>
      <c r="J52" s="32" t="s">
        <v>1043</v>
      </c>
      <c r="K52" s="150"/>
      <c r="L52" s="150"/>
      <c r="M52" s="150"/>
      <c r="N52" s="150"/>
      <c r="O52" s="150"/>
      <c r="P52" s="38" t="s">
        <v>1118</v>
      </c>
    </row>
    <row r="53" spans="1:17" s="60" customFormat="1" ht="12">
      <c r="A53" s="154"/>
      <c r="B53" s="151"/>
      <c r="C53" s="151"/>
      <c r="D53" s="211"/>
      <c r="E53" s="211"/>
      <c r="F53" s="116"/>
      <c r="G53" s="116"/>
      <c r="H53" s="155">
        <f>SUM(H43:H52)</f>
        <v>5795.5515000000005</v>
      </c>
      <c r="I53" s="150"/>
      <c r="J53" s="150"/>
      <c r="K53" s="153"/>
      <c r="L53" s="153"/>
      <c r="M53" s="153"/>
      <c r="N53" s="153"/>
      <c r="O53" s="153"/>
      <c r="P53" s="153"/>
    </row>
    <row r="54" spans="1:17" s="60" customFormat="1" ht="12">
      <c r="A54" s="154"/>
      <c r="B54" s="151"/>
      <c r="C54" s="151"/>
      <c r="D54" s="211"/>
      <c r="E54" s="211"/>
      <c r="F54" s="116"/>
      <c r="G54" s="116"/>
      <c r="H54" s="155"/>
      <c r="I54" s="150"/>
      <c r="J54" s="150"/>
      <c r="K54" s="153"/>
      <c r="L54" s="153"/>
      <c r="M54" s="153"/>
      <c r="N54" s="153"/>
      <c r="O54" s="153"/>
      <c r="P54" s="153"/>
    </row>
    <row r="55" spans="1:17" s="1" customFormat="1" ht="11.25" customHeight="1">
      <c r="A55" s="194" t="s">
        <v>17</v>
      </c>
      <c r="B55" s="194" t="s">
        <v>19</v>
      </c>
      <c r="C55" s="194" t="s">
        <v>20</v>
      </c>
      <c r="D55" s="206" t="s">
        <v>115</v>
      </c>
      <c r="E55" s="207"/>
      <c r="F55" s="194" t="s">
        <v>23</v>
      </c>
      <c r="G55" s="194" t="s">
        <v>24</v>
      </c>
      <c r="H55" s="195" t="s">
        <v>25</v>
      </c>
      <c r="I55" s="195" t="s">
        <v>18</v>
      </c>
      <c r="J55" s="203" t="s">
        <v>470</v>
      </c>
      <c r="K55" s="167"/>
      <c r="L55" s="167"/>
      <c r="M55" s="167"/>
      <c r="N55" s="167"/>
      <c r="O55" s="167"/>
      <c r="P55" s="203" t="s">
        <v>1115</v>
      </c>
      <c r="Q55" s="7"/>
    </row>
    <row r="56" spans="1:17" s="1" customFormat="1" ht="15" customHeight="1">
      <c r="A56" s="194"/>
      <c r="B56" s="194"/>
      <c r="C56" s="194"/>
      <c r="D56" s="208"/>
      <c r="E56" s="209"/>
      <c r="F56" s="194"/>
      <c r="G56" s="194"/>
      <c r="H56" s="195"/>
      <c r="I56" s="195"/>
      <c r="J56" s="203"/>
      <c r="K56" s="167"/>
      <c r="L56" s="167"/>
      <c r="M56" s="167"/>
      <c r="N56" s="167"/>
      <c r="O56" s="167"/>
      <c r="P56" s="203"/>
    </row>
    <row r="57" spans="1:17" s="60" customFormat="1" ht="27.75" customHeight="1">
      <c r="A57" s="118" t="s">
        <v>779</v>
      </c>
      <c r="B57" s="32" t="s">
        <v>146</v>
      </c>
      <c r="C57" s="32">
        <v>50</v>
      </c>
      <c r="D57" s="211" t="s">
        <v>127</v>
      </c>
      <c r="E57" s="211"/>
      <c r="F57" s="119" t="s">
        <v>1107</v>
      </c>
      <c r="G57" s="32">
        <v>753</v>
      </c>
      <c r="H57" s="89">
        <f>391.5*1.15</f>
        <v>450.22499999999997</v>
      </c>
      <c r="I57" s="38" t="s">
        <v>789</v>
      </c>
      <c r="J57" s="32" t="s">
        <v>1043</v>
      </c>
      <c r="K57" s="153"/>
      <c r="L57" s="153"/>
      <c r="M57" s="153"/>
      <c r="N57" s="153"/>
      <c r="O57" s="153"/>
      <c r="P57" s="38" t="s">
        <v>1118</v>
      </c>
    </row>
    <row r="58" spans="1:17" s="1" customFormat="1" ht="27" customHeight="1">
      <c r="A58" s="118" t="s">
        <v>779</v>
      </c>
      <c r="B58" s="32" t="s">
        <v>220</v>
      </c>
      <c r="C58" s="32">
        <v>50</v>
      </c>
      <c r="D58" s="211" t="s">
        <v>127</v>
      </c>
      <c r="E58" s="211"/>
      <c r="F58" s="119" t="s">
        <v>54</v>
      </c>
      <c r="G58" s="32">
        <v>753</v>
      </c>
      <c r="H58" s="89">
        <f>151.5*1.15</f>
        <v>174.22499999999999</v>
      </c>
      <c r="I58" s="38" t="s">
        <v>1106</v>
      </c>
      <c r="J58" s="32" t="s">
        <v>1043</v>
      </c>
      <c r="K58" s="150"/>
      <c r="L58" s="150"/>
      <c r="M58" s="150"/>
      <c r="N58" s="150"/>
      <c r="O58" s="150"/>
      <c r="P58" s="38" t="s">
        <v>1118</v>
      </c>
      <c r="Q58" s="111"/>
    </row>
    <row r="59" spans="1:17" s="60" customFormat="1" ht="24" customHeight="1">
      <c r="A59" s="118" t="s">
        <v>1088</v>
      </c>
      <c r="B59" s="32" t="s">
        <v>787</v>
      </c>
      <c r="C59" s="32">
        <v>1</v>
      </c>
      <c r="D59" s="211" t="s">
        <v>127</v>
      </c>
      <c r="E59" s="211"/>
      <c r="F59" s="119" t="s">
        <v>33</v>
      </c>
      <c r="G59" s="32">
        <v>753</v>
      </c>
      <c r="H59" s="89">
        <f>1434.78*1.15</f>
        <v>1649.9969999999998</v>
      </c>
      <c r="I59" s="38" t="s">
        <v>1089</v>
      </c>
      <c r="J59" s="32" t="s">
        <v>1043</v>
      </c>
      <c r="K59" s="153"/>
      <c r="L59" s="153"/>
      <c r="M59" s="153"/>
      <c r="N59" s="153"/>
      <c r="O59" s="153"/>
      <c r="P59" s="38" t="s">
        <v>1116</v>
      </c>
    </row>
    <row r="60" spans="1:17" s="60" customFormat="1" ht="42" customHeight="1">
      <c r="A60" s="118" t="s">
        <v>779</v>
      </c>
      <c r="B60" s="32" t="s">
        <v>147</v>
      </c>
      <c r="C60" s="32">
        <v>3</v>
      </c>
      <c r="D60" s="211" t="s">
        <v>127</v>
      </c>
      <c r="E60" s="211"/>
      <c r="F60" s="119" t="s">
        <v>782</v>
      </c>
      <c r="G60" s="32">
        <v>753</v>
      </c>
      <c r="H60" s="89">
        <f>73.05*1.15</f>
        <v>84.007499999999993</v>
      </c>
      <c r="I60" s="38" t="s">
        <v>788</v>
      </c>
      <c r="J60" s="32" t="s">
        <v>1043</v>
      </c>
      <c r="K60" s="153"/>
      <c r="L60" s="153"/>
      <c r="M60" s="153"/>
      <c r="N60" s="153"/>
      <c r="O60" s="153"/>
      <c r="P60" s="38" t="s">
        <v>1118</v>
      </c>
    </row>
    <row r="61" spans="1:17" s="1" customFormat="1" ht="38.25" customHeight="1">
      <c r="A61" s="118" t="s">
        <v>1090</v>
      </c>
      <c r="B61" s="32" t="s">
        <v>173</v>
      </c>
      <c r="C61" s="32">
        <v>2</v>
      </c>
      <c r="D61" s="211" t="s">
        <v>127</v>
      </c>
      <c r="E61" s="211"/>
      <c r="F61" s="119" t="s">
        <v>54</v>
      </c>
      <c r="G61" s="32">
        <v>753</v>
      </c>
      <c r="H61" s="89">
        <f>222.6*1.15</f>
        <v>255.98999999999998</v>
      </c>
      <c r="I61" s="38" t="s">
        <v>1089</v>
      </c>
      <c r="J61" s="32" t="s">
        <v>1043</v>
      </c>
      <c r="K61" s="150"/>
      <c r="L61" s="150"/>
      <c r="M61" s="150"/>
      <c r="N61" s="150"/>
      <c r="O61" s="150"/>
      <c r="P61" s="38" t="s">
        <v>1116</v>
      </c>
    </row>
    <row r="62" spans="1:17" s="1" customFormat="1" ht="19.5" customHeight="1">
      <c r="A62" s="118" t="s">
        <v>779</v>
      </c>
      <c r="B62" s="32" t="s">
        <v>174</v>
      </c>
      <c r="C62" s="32">
        <v>1</v>
      </c>
      <c r="D62" s="211" t="s">
        <v>127</v>
      </c>
      <c r="E62" s="211"/>
      <c r="F62" s="119" t="s">
        <v>184</v>
      </c>
      <c r="G62" s="32">
        <v>753</v>
      </c>
      <c r="H62" s="89">
        <f>330.43*1.15</f>
        <v>379.99449999999996</v>
      </c>
      <c r="I62" s="38" t="s">
        <v>221</v>
      </c>
      <c r="J62" s="32" t="s">
        <v>1043</v>
      </c>
      <c r="K62" s="150"/>
      <c r="L62" s="150"/>
      <c r="M62" s="150"/>
      <c r="N62" s="150"/>
      <c r="O62" s="150"/>
      <c r="P62" s="33" t="s">
        <v>1117</v>
      </c>
    </row>
    <row r="63" spans="1:17" s="1" customFormat="1" ht="24">
      <c r="A63" s="118" t="s">
        <v>779</v>
      </c>
      <c r="B63" s="32" t="s">
        <v>148</v>
      </c>
      <c r="C63" s="32">
        <v>3</v>
      </c>
      <c r="D63" s="211" t="s">
        <v>127</v>
      </c>
      <c r="E63" s="211"/>
      <c r="F63" s="119" t="s">
        <v>783</v>
      </c>
      <c r="G63" s="32">
        <v>753</v>
      </c>
      <c r="H63" s="89">
        <f>988.71*1.15</f>
        <v>1137.0165</v>
      </c>
      <c r="I63" s="38" t="s">
        <v>788</v>
      </c>
      <c r="J63" s="32" t="s">
        <v>1043</v>
      </c>
      <c r="K63" s="150"/>
      <c r="L63" s="150"/>
      <c r="M63" s="150"/>
      <c r="N63" s="150"/>
      <c r="O63" s="150"/>
      <c r="P63" s="38" t="s">
        <v>1118</v>
      </c>
    </row>
    <row r="64" spans="1:17" s="1" customFormat="1" ht="30" customHeight="1">
      <c r="A64" s="118" t="s">
        <v>779</v>
      </c>
      <c r="B64" s="32" t="s">
        <v>149</v>
      </c>
      <c r="C64" s="32">
        <v>5</v>
      </c>
      <c r="D64" s="211" t="s">
        <v>127</v>
      </c>
      <c r="E64" s="211"/>
      <c r="F64" s="119" t="s">
        <v>54</v>
      </c>
      <c r="G64" s="32">
        <v>753</v>
      </c>
      <c r="H64" s="89">
        <f>339.15*1.15</f>
        <v>390.02249999999992</v>
      </c>
      <c r="I64" s="38" t="s">
        <v>1108</v>
      </c>
      <c r="J64" s="32" t="s">
        <v>1043</v>
      </c>
      <c r="K64" s="150"/>
      <c r="L64" s="150"/>
      <c r="M64" s="150"/>
      <c r="N64" s="150"/>
      <c r="O64" s="150"/>
      <c r="P64" s="38" t="s">
        <v>1118</v>
      </c>
    </row>
    <row r="65" spans="1:17" s="7" customFormat="1" ht="21.75" customHeight="1">
      <c r="A65" s="118" t="s">
        <v>779</v>
      </c>
      <c r="B65" s="32" t="s">
        <v>150</v>
      </c>
      <c r="C65" s="32">
        <v>1</v>
      </c>
      <c r="D65" s="211" t="s">
        <v>127</v>
      </c>
      <c r="E65" s="211"/>
      <c r="F65" s="119" t="s">
        <v>54</v>
      </c>
      <c r="G65" s="32">
        <v>753</v>
      </c>
      <c r="H65" s="89">
        <v>218.00550000000001</v>
      </c>
      <c r="I65" s="38" t="s">
        <v>221</v>
      </c>
      <c r="J65" s="32" t="s">
        <v>1043</v>
      </c>
      <c r="K65" s="152"/>
      <c r="L65" s="150"/>
      <c r="M65" s="150"/>
      <c r="N65" s="150"/>
      <c r="O65" s="150"/>
      <c r="P65" s="33" t="s">
        <v>1117</v>
      </c>
    </row>
    <row r="66" spans="1:17" s="1" customFormat="1" ht="26.25" customHeight="1">
      <c r="A66" s="118" t="s">
        <v>779</v>
      </c>
      <c r="B66" s="32" t="s">
        <v>151</v>
      </c>
      <c r="C66" s="32">
        <v>1</v>
      </c>
      <c r="D66" s="211" t="s">
        <v>127</v>
      </c>
      <c r="E66" s="211"/>
      <c r="F66" s="119" t="s">
        <v>54</v>
      </c>
      <c r="G66" s="32">
        <v>753</v>
      </c>
      <c r="H66" s="89">
        <f>417.39*1.15</f>
        <v>479.99849999999992</v>
      </c>
      <c r="I66" s="38" t="s">
        <v>1108</v>
      </c>
      <c r="J66" s="32" t="s">
        <v>1043</v>
      </c>
      <c r="K66" s="150"/>
      <c r="L66" s="150"/>
      <c r="M66" s="150"/>
      <c r="N66" s="150"/>
      <c r="O66" s="150"/>
      <c r="P66" s="38" t="s">
        <v>1118</v>
      </c>
    </row>
    <row r="67" spans="1:17" s="1" customFormat="1" ht="12">
      <c r="A67" s="156"/>
      <c r="B67" s="151"/>
      <c r="C67" s="151"/>
      <c r="D67" s="211"/>
      <c r="E67" s="211"/>
      <c r="F67" s="150"/>
      <c r="G67" s="150"/>
      <c r="H67" s="157">
        <f>SUM(H57:H66)</f>
        <v>5219.4819999999991</v>
      </c>
      <c r="I67" s="152"/>
      <c r="J67" s="150"/>
      <c r="K67" s="150"/>
      <c r="L67" s="150"/>
      <c r="M67" s="150"/>
      <c r="N67" s="150"/>
      <c r="O67" s="150"/>
      <c r="P67" s="150"/>
    </row>
    <row r="68" spans="1:17" s="1" customFormat="1" ht="12">
      <c r="A68" s="156"/>
      <c r="B68" s="151"/>
      <c r="C68" s="151"/>
      <c r="D68" s="211"/>
      <c r="E68" s="211"/>
      <c r="F68" s="150"/>
      <c r="G68" s="150"/>
      <c r="H68" s="157"/>
      <c r="I68" s="152"/>
      <c r="J68" s="150"/>
      <c r="K68" s="150"/>
      <c r="L68" s="150"/>
      <c r="M68" s="150"/>
      <c r="N68" s="150"/>
      <c r="O68" s="150"/>
      <c r="P68" s="150"/>
    </row>
    <row r="69" spans="1:17" s="1" customFormat="1" ht="11.25" customHeight="1">
      <c r="A69" s="194" t="s">
        <v>17</v>
      </c>
      <c r="B69" s="194" t="s">
        <v>19</v>
      </c>
      <c r="C69" s="194" t="s">
        <v>20</v>
      </c>
      <c r="D69" s="206" t="s">
        <v>115</v>
      </c>
      <c r="E69" s="207"/>
      <c r="F69" s="194" t="s">
        <v>23</v>
      </c>
      <c r="G69" s="194" t="s">
        <v>24</v>
      </c>
      <c r="H69" s="195" t="s">
        <v>25</v>
      </c>
      <c r="I69" s="195" t="s">
        <v>18</v>
      </c>
      <c r="J69" s="203" t="s">
        <v>470</v>
      </c>
      <c r="K69" s="167"/>
      <c r="L69" s="167"/>
      <c r="M69" s="167"/>
      <c r="N69" s="167"/>
      <c r="O69" s="167"/>
      <c r="P69" s="203" t="s">
        <v>1115</v>
      </c>
      <c r="Q69" s="7"/>
    </row>
    <row r="70" spans="1:17" s="1" customFormat="1" ht="15" customHeight="1">
      <c r="A70" s="194"/>
      <c r="B70" s="194"/>
      <c r="C70" s="194"/>
      <c r="D70" s="208"/>
      <c r="E70" s="209"/>
      <c r="F70" s="194"/>
      <c r="G70" s="194"/>
      <c r="H70" s="195"/>
      <c r="I70" s="195"/>
      <c r="J70" s="203"/>
      <c r="K70" s="167"/>
      <c r="L70" s="167"/>
      <c r="M70" s="167"/>
      <c r="N70" s="167"/>
      <c r="O70" s="167"/>
      <c r="P70" s="203"/>
    </row>
    <row r="71" spans="1:17" s="1" customFormat="1" ht="12">
      <c r="A71" s="118" t="s">
        <v>779</v>
      </c>
      <c r="B71" s="32" t="s">
        <v>140</v>
      </c>
      <c r="C71" s="32">
        <v>1</v>
      </c>
      <c r="D71" s="211" t="s">
        <v>127</v>
      </c>
      <c r="E71" s="211"/>
      <c r="F71" s="119" t="s">
        <v>54</v>
      </c>
      <c r="G71" s="32">
        <v>754</v>
      </c>
      <c r="H71" s="89">
        <v>158.02000000000001</v>
      </c>
      <c r="I71" s="38" t="s">
        <v>221</v>
      </c>
      <c r="J71" s="32" t="s">
        <v>1043</v>
      </c>
      <c r="K71" s="150"/>
      <c r="L71" s="150"/>
      <c r="M71" s="150"/>
      <c r="N71" s="150"/>
      <c r="O71" s="150"/>
      <c r="P71" s="33" t="s">
        <v>1117</v>
      </c>
      <c r="Q71" s="111"/>
    </row>
    <row r="72" spans="1:17" s="1" customFormat="1" ht="24" customHeight="1">
      <c r="A72" s="118" t="s">
        <v>779</v>
      </c>
      <c r="B72" s="32" t="s">
        <v>141</v>
      </c>
      <c r="C72" s="32">
        <v>4</v>
      </c>
      <c r="D72" s="211" t="s">
        <v>127</v>
      </c>
      <c r="E72" s="211"/>
      <c r="F72" s="119" t="s">
        <v>54</v>
      </c>
      <c r="G72" s="32">
        <v>754</v>
      </c>
      <c r="H72" s="89">
        <f>17.4*1.15</f>
        <v>20.009999999999998</v>
      </c>
      <c r="I72" s="38" t="s">
        <v>1108</v>
      </c>
      <c r="J72" s="32" t="s">
        <v>1043</v>
      </c>
      <c r="K72" s="150"/>
      <c r="L72" s="150"/>
      <c r="M72" s="150"/>
      <c r="N72" s="150"/>
      <c r="O72" s="150"/>
      <c r="P72" s="38" t="s">
        <v>1118</v>
      </c>
    </row>
    <row r="73" spans="1:17" ht="23.25" customHeight="1">
      <c r="A73" s="118" t="s">
        <v>779</v>
      </c>
      <c r="B73" s="32" t="s">
        <v>142</v>
      </c>
      <c r="C73" s="32">
        <v>10</v>
      </c>
      <c r="D73" s="211" t="s">
        <v>127</v>
      </c>
      <c r="E73" s="211"/>
      <c r="F73" s="119" t="s">
        <v>54</v>
      </c>
      <c r="G73" s="32">
        <v>754</v>
      </c>
      <c r="H73" s="89">
        <v>130.87</v>
      </c>
      <c r="I73" s="38" t="s">
        <v>1108</v>
      </c>
      <c r="J73" s="32" t="s">
        <v>1043</v>
      </c>
      <c r="K73" s="116"/>
      <c r="L73" s="116"/>
      <c r="M73" s="116"/>
      <c r="N73" s="116"/>
      <c r="O73" s="116"/>
      <c r="P73" s="38" t="s">
        <v>1118</v>
      </c>
    </row>
    <row r="74" spans="1:17" ht="22.5" customHeight="1">
      <c r="A74" s="118" t="s">
        <v>779</v>
      </c>
      <c r="B74" s="32" t="s">
        <v>143</v>
      </c>
      <c r="C74" s="32">
        <v>50</v>
      </c>
      <c r="D74" s="211" t="s">
        <v>127</v>
      </c>
      <c r="E74" s="211"/>
      <c r="F74" s="119" t="s">
        <v>54</v>
      </c>
      <c r="G74" s="32">
        <v>754</v>
      </c>
      <c r="H74" s="89">
        <v>288.82</v>
      </c>
      <c r="I74" s="38" t="s">
        <v>1108</v>
      </c>
      <c r="J74" s="32" t="s">
        <v>1043</v>
      </c>
      <c r="K74" s="116"/>
      <c r="L74" s="116"/>
      <c r="M74" s="116"/>
      <c r="N74" s="116"/>
      <c r="O74" s="116"/>
      <c r="P74" s="38" t="s">
        <v>1118</v>
      </c>
    </row>
    <row r="75" spans="1:17" s="1" customFormat="1" ht="26.25" customHeight="1">
      <c r="A75" s="118" t="s">
        <v>779</v>
      </c>
      <c r="B75" s="32" t="s">
        <v>176</v>
      </c>
      <c r="C75" s="32">
        <v>3</v>
      </c>
      <c r="D75" s="211" t="s">
        <v>127</v>
      </c>
      <c r="E75" s="211"/>
      <c r="F75" s="119" t="s">
        <v>54</v>
      </c>
      <c r="G75" s="32">
        <v>754</v>
      </c>
      <c r="H75" s="89">
        <v>329.99</v>
      </c>
      <c r="I75" s="38" t="s">
        <v>1108</v>
      </c>
      <c r="J75" s="32" t="s">
        <v>1043</v>
      </c>
      <c r="K75" s="150"/>
      <c r="L75" s="150"/>
      <c r="M75" s="150"/>
      <c r="N75" s="150"/>
      <c r="O75" s="150"/>
      <c r="P75" s="38" t="s">
        <v>1118</v>
      </c>
    </row>
    <row r="76" spans="1:17" ht="23.25" customHeight="1">
      <c r="A76" s="118" t="s">
        <v>779</v>
      </c>
      <c r="B76" s="32" t="s">
        <v>781</v>
      </c>
      <c r="C76" s="32">
        <v>50</v>
      </c>
      <c r="D76" s="211" t="s">
        <v>127</v>
      </c>
      <c r="E76" s="211"/>
      <c r="F76" s="119" t="s">
        <v>54</v>
      </c>
      <c r="G76" s="32">
        <v>754</v>
      </c>
      <c r="H76" s="89">
        <f>165.01*1.15</f>
        <v>189.76149999999998</v>
      </c>
      <c r="I76" s="38" t="s">
        <v>1108</v>
      </c>
      <c r="J76" s="32" t="s">
        <v>1043</v>
      </c>
      <c r="K76" s="116"/>
      <c r="L76" s="116"/>
      <c r="M76" s="116"/>
      <c r="N76" s="116"/>
      <c r="O76" s="116"/>
      <c r="P76" s="38" t="s">
        <v>1118</v>
      </c>
    </row>
    <row r="77" spans="1:17" s="1" customFormat="1" ht="26.25" customHeight="1">
      <c r="A77" s="118" t="s">
        <v>779</v>
      </c>
      <c r="B77" s="32" t="s">
        <v>144</v>
      </c>
      <c r="C77" s="32">
        <v>5</v>
      </c>
      <c r="D77" s="211" t="s">
        <v>127</v>
      </c>
      <c r="E77" s="211"/>
      <c r="F77" s="119" t="s">
        <v>54</v>
      </c>
      <c r="G77" s="32">
        <v>754</v>
      </c>
      <c r="H77" s="89">
        <v>324.99</v>
      </c>
      <c r="I77" s="38" t="s">
        <v>1108</v>
      </c>
      <c r="J77" s="32" t="s">
        <v>1043</v>
      </c>
      <c r="K77" s="150"/>
      <c r="L77" s="150"/>
      <c r="M77" s="150"/>
      <c r="N77" s="150"/>
      <c r="O77" s="150"/>
      <c r="P77" s="38" t="s">
        <v>1118</v>
      </c>
    </row>
    <row r="78" spans="1:17" s="1" customFormat="1" ht="24" customHeight="1">
      <c r="A78" s="118" t="s">
        <v>779</v>
      </c>
      <c r="B78" s="32" t="s">
        <v>175</v>
      </c>
      <c r="C78" s="32">
        <v>2</v>
      </c>
      <c r="D78" s="211" t="s">
        <v>127</v>
      </c>
      <c r="E78" s="211"/>
      <c r="F78" s="119" t="s">
        <v>54</v>
      </c>
      <c r="G78" s="32">
        <v>754</v>
      </c>
      <c r="H78" s="89">
        <v>196.04</v>
      </c>
      <c r="I78" s="38" t="s">
        <v>1108</v>
      </c>
      <c r="J78" s="32" t="s">
        <v>1043</v>
      </c>
      <c r="K78" s="150"/>
      <c r="L78" s="150"/>
      <c r="M78" s="150"/>
      <c r="N78" s="150"/>
      <c r="O78" s="150"/>
      <c r="P78" s="38" t="s">
        <v>1118</v>
      </c>
    </row>
    <row r="79" spans="1:17" ht="25.5" customHeight="1">
      <c r="A79" s="118" t="s">
        <v>779</v>
      </c>
      <c r="B79" s="32" t="s">
        <v>145</v>
      </c>
      <c r="C79" s="32">
        <v>2</v>
      </c>
      <c r="D79" s="211" t="s">
        <v>127</v>
      </c>
      <c r="E79" s="211"/>
      <c r="F79" s="119" t="s">
        <v>54</v>
      </c>
      <c r="G79" s="32">
        <v>754</v>
      </c>
      <c r="H79" s="89">
        <f>95.66*1.15</f>
        <v>110.00899999999999</v>
      </c>
      <c r="I79" s="38" t="s">
        <v>1108</v>
      </c>
      <c r="J79" s="32" t="s">
        <v>1043</v>
      </c>
      <c r="K79" s="158"/>
      <c r="L79" s="116"/>
      <c r="M79" s="116"/>
      <c r="N79" s="116"/>
      <c r="O79" s="116"/>
      <c r="P79" s="38" t="s">
        <v>1118</v>
      </c>
    </row>
    <row r="80" spans="1:17" s="1" customFormat="1" ht="12">
      <c r="A80" s="118" t="s">
        <v>779</v>
      </c>
      <c r="B80" s="32" t="s">
        <v>326</v>
      </c>
      <c r="C80" s="32">
        <v>2</v>
      </c>
      <c r="D80" s="211" t="s">
        <v>127</v>
      </c>
      <c r="E80" s="211"/>
      <c r="F80" s="119" t="s">
        <v>54</v>
      </c>
      <c r="G80" s="32">
        <v>754</v>
      </c>
      <c r="H80" s="89">
        <f>78.26*1.15</f>
        <v>89.998999999999995</v>
      </c>
      <c r="I80" s="38" t="s">
        <v>1108</v>
      </c>
      <c r="J80" s="32" t="s">
        <v>1043</v>
      </c>
      <c r="K80" s="150"/>
      <c r="L80" s="150"/>
      <c r="M80" s="150"/>
      <c r="N80" s="150"/>
      <c r="O80" s="150"/>
      <c r="P80" s="38" t="s">
        <v>1118</v>
      </c>
    </row>
    <row r="81" spans="1:17" s="1" customFormat="1" ht="12">
      <c r="A81" s="116"/>
      <c r="B81" s="116"/>
      <c r="C81" s="116"/>
      <c r="D81" s="211"/>
      <c r="E81" s="211"/>
      <c r="F81" s="158"/>
      <c r="G81" s="116"/>
      <c r="H81" s="159">
        <f>SUM(H71:H80)</f>
        <v>1838.5095000000001</v>
      </c>
      <c r="I81" s="116"/>
      <c r="J81" s="116"/>
      <c r="K81" s="150"/>
      <c r="L81" s="150"/>
      <c r="M81" s="150"/>
      <c r="N81" s="150"/>
      <c r="O81" s="150"/>
      <c r="P81" s="150"/>
    </row>
    <row r="82" spans="1:17" s="1" customFormat="1" ht="11.25" customHeight="1">
      <c r="A82" s="194" t="s">
        <v>17</v>
      </c>
      <c r="B82" s="194" t="s">
        <v>19</v>
      </c>
      <c r="C82" s="194" t="s">
        <v>20</v>
      </c>
      <c r="D82" s="206" t="s">
        <v>115</v>
      </c>
      <c r="E82" s="207"/>
      <c r="F82" s="194" t="s">
        <v>23</v>
      </c>
      <c r="G82" s="194" t="s">
        <v>24</v>
      </c>
      <c r="H82" s="195" t="s">
        <v>25</v>
      </c>
      <c r="I82" s="195" t="s">
        <v>18</v>
      </c>
      <c r="J82" s="203" t="s">
        <v>470</v>
      </c>
      <c r="K82" s="167"/>
      <c r="L82" s="167"/>
      <c r="M82" s="167"/>
      <c r="N82" s="167"/>
      <c r="O82" s="167"/>
      <c r="P82" s="203" t="s">
        <v>1115</v>
      </c>
      <c r="Q82" s="7"/>
    </row>
    <row r="83" spans="1:17" s="1" customFormat="1" ht="15" customHeight="1">
      <c r="A83" s="194"/>
      <c r="B83" s="194"/>
      <c r="C83" s="194"/>
      <c r="D83" s="208"/>
      <c r="E83" s="209"/>
      <c r="F83" s="194"/>
      <c r="G83" s="194"/>
      <c r="H83" s="195"/>
      <c r="I83" s="195"/>
      <c r="J83" s="203"/>
      <c r="K83" s="167"/>
      <c r="L83" s="167"/>
      <c r="M83" s="167"/>
      <c r="N83" s="167"/>
      <c r="O83" s="167"/>
      <c r="P83" s="203"/>
    </row>
    <row r="84" spans="1:17" s="1" customFormat="1" ht="27" customHeight="1">
      <c r="A84" s="118" t="s">
        <v>779</v>
      </c>
      <c r="B84" s="32" t="s">
        <v>152</v>
      </c>
      <c r="C84" s="32">
        <v>2</v>
      </c>
      <c r="D84" s="211" t="s">
        <v>127</v>
      </c>
      <c r="E84" s="211"/>
      <c r="F84" s="119" t="s">
        <v>54</v>
      </c>
      <c r="G84" s="32">
        <v>755</v>
      </c>
      <c r="H84" s="89">
        <f>66.08*1.15</f>
        <v>75.99199999999999</v>
      </c>
      <c r="I84" s="38" t="s">
        <v>1108</v>
      </c>
      <c r="J84" s="32" t="s">
        <v>1043</v>
      </c>
      <c r="K84" s="150"/>
      <c r="L84" s="150"/>
      <c r="M84" s="150"/>
      <c r="N84" s="150"/>
      <c r="O84" s="150"/>
      <c r="P84" s="38" t="s">
        <v>1118</v>
      </c>
      <c r="Q84" s="111"/>
    </row>
    <row r="85" spans="1:17" ht="18.75" customHeight="1">
      <c r="A85" s="118" t="s">
        <v>779</v>
      </c>
      <c r="B85" s="32" t="s">
        <v>128</v>
      </c>
      <c r="C85" s="32">
        <v>2</v>
      </c>
      <c r="D85" s="211" t="s">
        <v>127</v>
      </c>
      <c r="E85" s="211"/>
      <c r="F85" s="119" t="s">
        <v>33</v>
      </c>
      <c r="G85" s="32">
        <v>755</v>
      </c>
      <c r="H85" s="89">
        <f>34.785*1.15</f>
        <v>40.002749999999992</v>
      </c>
      <c r="I85" s="38" t="s">
        <v>221</v>
      </c>
      <c r="J85" s="32" t="s">
        <v>1043</v>
      </c>
      <c r="K85" s="116"/>
      <c r="L85" s="116"/>
      <c r="M85" s="116"/>
      <c r="N85" s="116"/>
      <c r="O85" s="116"/>
      <c r="P85" s="33" t="s">
        <v>1117</v>
      </c>
    </row>
    <row r="86" spans="1:17" ht="30" customHeight="1">
      <c r="A86" s="118" t="s">
        <v>779</v>
      </c>
      <c r="B86" s="32" t="s">
        <v>153</v>
      </c>
      <c r="C86" s="32">
        <v>2</v>
      </c>
      <c r="D86" s="211" t="s">
        <v>127</v>
      </c>
      <c r="E86" s="211"/>
      <c r="F86" s="119" t="s">
        <v>883</v>
      </c>
      <c r="G86" s="32">
        <v>755</v>
      </c>
      <c r="H86" s="89">
        <f>45.215*1.15</f>
        <v>51.997250000000001</v>
      </c>
      <c r="I86" s="38" t="s">
        <v>788</v>
      </c>
      <c r="J86" s="32" t="s">
        <v>1043</v>
      </c>
      <c r="K86" s="116"/>
      <c r="L86" s="116"/>
      <c r="M86" s="116"/>
      <c r="N86" s="116"/>
      <c r="O86" s="116"/>
      <c r="P86" s="38" t="s">
        <v>1120</v>
      </c>
    </row>
    <row r="87" spans="1:17" ht="18.75" customHeight="1">
      <c r="A87" s="118" t="s">
        <v>779</v>
      </c>
      <c r="B87" s="32" t="s">
        <v>177</v>
      </c>
      <c r="C87" s="32">
        <v>2</v>
      </c>
      <c r="D87" s="211" t="s">
        <v>127</v>
      </c>
      <c r="E87" s="211"/>
      <c r="F87" s="119" t="s">
        <v>184</v>
      </c>
      <c r="G87" s="32">
        <v>755</v>
      </c>
      <c r="H87" s="89">
        <f>69.56*1.15</f>
        <v>79.994</v>
      </c>
      <c r="I87" s="38" t="s">
        <v>221</v>
      </c>
      <c r="J87" s="32" t="s">
        <v>1043</v>
      </c>
      <c r="K87" s="116"/>
      <c r="L87" s="116"/>
      <c r="M87" s="116"/>
      <c r="N87" s="116"/>
      <c r="O87" s="116"/>
      <c r="P87" s="33" t="s">
        <v>1117</v>
      </c>
    </row>
    <row r="88" spans="1:17" ht="21" customHeight="1">
      <c r="A88" s="118" t="s">
        <v>779</v>
      </c>
      <c r="B88" s="32" t="s">
        <v>178</v>
      </c>
      <c r="C88" s="32">
        <v>2</v>
      </c>
      <c r="D88" s="211" t="s">
        <v>127</v>
      </c>
      <c r="E88" s="211"/>
      <c r="F88" s="119" t="s">
        <v>184</v>
      </c>
      <c r="G88" s="32">
        <v>755</v>
      </c>
      <c r="H88" s="89">
        <f>74.44*1.15</f>
        <v>85.605999999999995</v>
      </c>
      <c r="I88" s="38" t="s">
        <v>221</v>
      </c>
      <c r="J88" s="32" t="s">
        <v>1043</v>
      </c>
      <c r="K88" s="116"/>
      <c r="L88" s="116"/>
      <c r="M88" s="116"/>
      <c r="N88" s="116"/>
      <c r="O88" s="116"/>
      <c r="P88" s="33" t="s">
        <v>1117</v>
      </c>
    </row>
    <row r="89" spans="1:17" ht="24.75" customHeight="1">
      <c r="A89" s="118" t="s">
        <v>779</v>
      </c>
      <c r="B89" s="32" t="s">
        <v>179</v>
      </c>
      <c r="C89" s="32">
        <v>2</v>
      </c>
      <c r="D89" s="211" t="s">
        <v>127</v>
      </c>
      <c r="E89" s="211"/>
      <c r="F89" s="119" t="s">
        <v>54</v>
      </c>
      <c r="G89" s="32">
        <v>755</v>
      </c>
      <c r="H89" s="89">
        <f>27.82*1.15</f>
        <v>31.992999999999999</v>
      </c>
      <c r="I89" s="38" t="s">
        <v>1108</v>
      </c>
      <c r="J89" s="32" t="s">
        <v>1043</v>
      </c>
      <c r="K89" s="116"/>
      <c r="L89" s="116"/>
      <c r="M89" s="116"/>
      <c r="N89" s="116"/>
      <c r="O89" s="116"/>
      <c r="P89" s="38" t="s">
        <v>1118</v>
      </c>
    </row>
    <row r="90" spans="1:17" s="1" customFormat="1" ht="27.75" customHeight="1">
      <c r="A90" s="118" t="s">
        <v>779</v>
      </c>
      <c r="B90" s="32" t="s">
        <v>180</v>
      </c>
      <c r="C90" s="32">
        <v>2</v>
      </c>
      <c r="D90" s="211" t="s">
        <v>127</v>
      </c>
      <c r="E90" s="211"/>
      <c r="F90" s="119" t="s">
        <v>54</v>
      </c>
      <c r="G90" s="32">
        <v>755</v>
      </c>
      <c r="H90" s="89">
        <f>26.96*1.15</f>
        <v>31.003999999999998</v>
      </c>
      <c r="I90" s="38" t="s">
        <v>1108</v>
      </c>
      <c r="J90" s="32" t="s">
        <v>1043</v>
      </c>
      <c r="K90" s="150"/>
      <c r="L90" s="150"/>
      <c r="M90" s="150"/>
      <c r="N90" s="150"/>
      <c r="O90" s="150"/>
      <c r="P90" s="38" t="s">
        <v>1118</v>
      </c>
    </row>
    <row r="91" spans="1:17" s="1" customFormat="1" ht="39" customHeight="1">
      <c r="A91" s="118" t="s">
        <v>779</v>
      </c>
      <c r="B91" s="119" t="s">
        <v>181</v>
      </c>
      <c r="C91" s="32">
        <v>2</v>
      </c>
      <c r="D91" s="211" t="s">
        <v>127</v>
      </c>
      <c r="E91" s="211"/>
      <c r="F91" s="119" t="s">
        <v>785</v>
      </c>
      <c r="G91" s="32">
        <v>755</v>
      </c>
      <c r="H91" s="89">
        <f>19.14*1.15</f>
        <v>22.010999999999999</v>
      </c>
      <c r="I91" s="38" t="s">
        <v>788</v>
      </c>
      <c r="J91" s="32" t="s">
        <v>1043</v>
      </c>
      <c r="K91" s="150"/>
      <c r="L91" s="150"/>
      <c r="M91" s="150"/>
      <c r="N91" s="150"/>
      <c r="O91" s="150"/>
      <c r="P91" s="38" t="s">
        <v>1120</v>
      </c>
    </row>
    <row r="92" spans="1:17" s="64" customFormat="1" ht="34.5" customHeight="1">
      <c r="A92" s="118" t="s">
        <v>779</v>
      </c>
      <c r="B92" s="32" t="s">
        <v>154</v>
      </c>
      <c r="C92" s="32">
        <v>30</v>
      </c>
      <c r="D92" s="211" t="s">
        <v>127</v>
      </c>
      <c r="E92" s="211"/>
      <c r="F92" s="119" t="s">
        <v>54</v>
      </c>
      <c r="G92" s="32">
        <v>755</v>
      </c>
      <c r="H92" s="89">
        <f>39*1.15</f>
        <v>44.849999999999994</v>
      </c>
      <c r="I92" s="38" t="s">
        <v>1106</v>
      </c>
      <c r="J92" s="32" t="s">
        <v>1043</v>
      </c>
      <c r="K92" s="158"/>
      <c r="L92" s="116"/>
      <c r="M92" s="116"/>
      <c r="N92" s="116"/>
      <c r="O92" s="116"/>
      <c r="P92" s="38" t="s">
        <v>1118</v>
      </c>
    </row>
    <row r="93" spans="1:17" s="1" customFormat="1" ht="18.75" customHeight="1">
      <c r="A93" s="118" t="s">
        <v>779</v>
      </c>
      <c r="B93" s="32" t="s">
        <v>155</v>
      </c>
      <c r="C93" s="32">
        <v>30</v>
      </c>
      <c r="D93" s="211" t="s">
        <v>127</v>
      </c>
      <c r="E93" s="211"/>
      <c r="F93" s="119" t="s">
        <v>54</v>
      </c>
      <c r="G93" s="32">
        <v>755</v>
      </c>
      <c r="H93" s="89">
        <f>39*1.15</f>
        <v>44.849999999999994</v>
      </c>
      <c r="I93" s="38" t="s">
        <v>221</v>
      </c>
      <c r="J93" s="32" t="s">
        <v>1043</v>
      </c>
      <c r="K93" s="150"/>
      <c r="L93" s="150"/>
      <c r="M93" s="150"/>
      <c r="N93" s="150"/>
      <c r="O93" s="150"/>
      <c r="P93" s="33" t="s">
        <v>1117</v>
      </c>
    </row>
    <row r="94" spans="1:17" s="1" customFormat="1" ht="12">
      <c r="A94" s="154"/>
      <c r="B94" s="151"/>
      <c r="C94" s="151"/>
      <c r="D94" s="211"/>
      <c r="E94" s="211"/>
      <c r="F94" s="117"/>
      <c r="G94" s="116"/>
      <c r="H94" s="160">
        <f>SUM(H84:H93)</f>
        <v>508.30000000000007</v>
      </c>
      <c r="I94" s="158"/>
      <c r="J94" s="117"/>
      <c r="K94" s="150"/>
      <c r="L94" s="150"/>
      <c r="M94" s="150"/>
      <c r="N94" s="150"/>
      <c r="O94" s="150"/>
      <c r="P94" s="150"/>
    </row>
    <row r="95" spans="1:17" s="1" customFormat="1" ht="12">
      <c r="A95" s="154"/>
      <c r="B95" s="151"/>
      <c r="C95" s="151"/>
      <c r="D95" s="211"/>
      <c r="E95" s="211"/>
      <c r="F95" s="117"/>
      <c r="G95" s="116"/>
      <c r="H95" s="160"/>
      <c r="I95" s="158"/>
      <c r="J95" s="117"/>
      <c r="K95" s="150"/>
      <c r="L95" s="150"/>
      <c r="M95" s="150"/>
      <c r="N95" s="150"/>
      <c r="O95" s="150"/>
      <c r="P95" s="150"/>
    </row>
    <row r="96" spans="1:17" s="1" customFormat="1" ht="11.25" customHeight="1">
      <c r="A96" s="194" t="s">
        <v>17</v>
      </c>
      <c r="B96" s="194" t="s">
        <v>19</v>
      </c>
      <c r="C96" s="194" t="s">
        <v>20</v>
      </c>
      <c r="D96" s="206" t="s">
        <v>115</v>
      </c>
      <c r="E96" s="207"/>
      <c r="F96" s="194" t="s">
        <v>23</v>
      </c>
      <c r="G96" s="194" t="s">
        <v>24</v>
      </c>
      <c r="H96" s="195" t="s">
        <v>25</v>
      </c>
      <c r="I96" s="195" t="s">
        <v>18</v>
      </c>
      <c r="J96" s="203" t="s">
        <v>470</v>
      </c>
      <c r="K96" s="167"/>
      <c r="L96" s="167"/>
      <c r="M96" s="167"/>
      <c r="N96" s="167"/>
      <c r="O96" s="167"/>
      <c r="P96" s="203" t="s">
        <v>1115</v>
      </c>
      <c r="Q96" s="7"/>
    </row>
    <row r="97" spans="1:17" s="1" customFormat="1" ht="15" customHeight="1">
      <c r="A97" s="194"/>
      <c r="B97" s="194"/>
      <c r="C97" s="194"/>
      <c r="D97" s="208"/>
      <c r="E97" s="209"/>
      <c r="F97" s="194"/>
      <c r="G97" s="194"/>
      <c r="H97" s="195"/>
      <c r="I97" s="195"/>
      <c r="J97" s="203"/>
      <c r="K97" s="167"/>
      <c r="L97" s="167"/>
      <c r="M97" s="167"/>
      <c r="N97" s="167"/>
      <c r="O97" s="167"/>
      <c r="P97" s="203"/>
    </row>
    <row r="98" spans="1:17" ht="36">
      <c r="A98" s="118" t="s">
        <v>779</v>
      </c>
      <c r="B98" s="32" t="s">
        <v>156</v>
      </c>
      <c r="C98" s="32">
        <v>30</v>
      </c>
      <c r="D98" s="211" t="s">
        <v>127</v>
      </c>
      <c r="E98" s="211"/>
      <c r="F98" s="119" t="s">
        <v>784</v>
      </c>
      <c r="G98" s="32">
        <v>756</v>
      </c>
      <c r="H98" s="89">
        <f>47.1*1.15</f>
        <v>54.164999999999999</v>
      </c>
      <c r="I98" s="38" t="s">
        <v>788</v>
      </c>
      <c r="J98" s="32" t="s">
        <v>1043</v>
      </c>
      <c r="K98" s="116"/>
      <c r="L98" s="116"/>
      <c r="M98" s="116"/>
      <c r="N98" s="116"/>
      <c r="O98" s="116"/>
      <c r="P98" s="38" t="s">
        <v>1120</v>
      </c>
    </row>
    <row r="99" spans="1:17" s="1" customFormat="1" ht="26.25" customHeight="1">
      <c r="A99" s="118" t="s">
        <v>779</v>
      </c>
      <c r="B99" s="32" t="s">
        <v>157</v>
      </c>
      <c r="C99" s="32">
        <v>30</v>
      </c>
      <c r="D99" s="211" t="s">
        <v>127</v>
      </c>
      <c r="E99" s="211"/>
      <c r="F99" s="119" t="s">
        <v>54</v>
      </c>
      <c r="G99" s="32">
        <v>756</v>
      </c>
      <c r="H99" s="89">
        <f>109.5*1.15</f>
        <v>125.925</v>
      </c>
      <c r="I99" s="38" t="s">
        <v>221</v>
      </c>
      <c r="J99" s="32" t="s">
        <v>1043</v>
      </c>
      <c r="K99" s="150"/>
      <c r="L99" s="150"/>
      <c r="M99" s="150"/>
      <c r="N99" s="150"/>
      <c r="O99" s="150"/>
      <c r="P99" s="33" t="s">
        <v>1117</v>
      </c>
    </row>
    <row r="100" spans="1:17" s="1" customFormat="1" ht="35.25" customHeight="1">
      <c r="A100" s="118" t="s">
        <v>779</v>
      </c>
      <c r="B100" s="32" t="s">
        <v>166</v>
      </c>
      <c r="C100" s="32">
        <v>10</v>
      </c>
      <c r="D100" s="211" t="s">
        <v>127</v>
      </c>
      <c r="E100" s="211"/>
      <c r="F100" s="119" t="s">
        <v>878</v>
      </c>
      <c r="G100" s="32">
        <v>756</v>
      </c>
      <c r="H100" s="89">
        <f>87*1.15</f>
        <v>100.05</v>
      </c>
      <c r="I100" s="38" t="s">
        <v>789</v>
      </c>
      <c r="J100" s="32" t="s">
        <v>1043</v>
      </c>
      <c r="K100" s="150"/>
      <c r="L100" s="150"/>
      <c r="M100" s="150"/>
      <c r="N100" s="150"/>
      <c r="O100" s="150"/>
      <c r="P100" s="38" t="s">
        <v>1120</v>
      </c>
    </row>
    <row r="101" spans="1:17" s="1" customFormat="1" ht="34.5" customHeight="1">
      <c r="A101" s="118" t="s">
        <v>779</v>
      </c>
      <c r="B101" s="32" t="s">
        <v>158</v>
      </c>
      <c r="C101" s="32">
        <v>5</v>
      </c>
      <c r="D101" s="211" t="s">
        <v>127</v>
      </c>
      <c r="E101" s="211"/>
      <c r="F101" s="119" t="s">
        <v>54</v>
      </c>
      <c r="G101" s="32">
        <v>756</v>
      </c>
      <c r="H101" s="89">
        <f>173.9*1.15</f>
        <v>199.98499999999999</v>
      </c>
      <c r="I101" s="38" t="s">
        <v>1106</v>
      </c>
      <c r="J101" s="32" t="s">
        <v>1043</v>
      </c>
      <c r="K101" s="150"/>
      <c r="L101" s="150"/>
      <c r="M101" s="150"/>
      <c r="N101" s="150"/>
      <c r="O101" s="150"/>
      <c r="P101" s="38" t="s">
        <v>1118</v>
      </c>
      <c r="Q101" s="111"/>
    </row>
    <row r="102" spans="1:17" s="1" customFormat="1" ht="27" customHeight="1">
      <c r="A102" s="118" t="s">
        <v>779</v>
      </c>
      <c r="B102" s="32" t="s">
        <v>159</v>
      </c>
      <c r="C102" s="32">
        <v>2</v>
      </c>
      <c r="D102" s="211" t="s">
        <v>127</v>
      </c>
      <c r="E102" s="211"/>
      <c r="F102" s="119" t="s">
        <v>54</v>
      </c>
      <c r="G102" s="32">
        <v>756</v>
      </c>
      <c r="H102" s="89">
        <f>321.74*1.15</f>
        <v>370.00099999999998</v>
      </c>
      <c r="I102" s="38" t="s">
        <v>1106</v>
      </c>
      <c r="J102" s="32" t="s">
        <v>1043</v>
      </c>
      <c r="K102" s="150"/>
      <c r="L102" s="150"/>
      <c r="M102" s="150"/>
      <c r="N102" s="150"/>
      <c r="O102" s="150"/>
      <c r="P102" s="38" t="s">
        <v>1118</v>
      </c>
    </row>
    <row r="103" spans="1:17" ht="24" customHeight="1">
      <c r="A103" s="118" t="s">
        <v>779</v>
      </c>
      <c r="B103" s="32" t="s">
        <v>160</v>
      </c>
      <c r="C103" s="32">
        <v>6</v>
      </c>
      <c r="D103" s="211" t="s">
        <v>127</v>
      </c>
      <c r="E103" s="211"/>
      <c r="F103" s="119" t="s">
        <v>54</v>
      </c>
      <c r="G103" s="32">
        <v>756</v>
      </c>
      <c r="H103" s="89">
        <f>125.22*1.15</f>
        <v>144.00299999999999</v>
      </c>
      <c r="I103" s="38" t="s">
        <v>1106</v>
      </c>
      <c r="J103" s="32" t="s">
        <v>1043</v>
      </c>
      <c r="K103" s="116"/>
      <c r="L103" s="116"/>
      <c r="M103" s="116"/>
      <c r="N103" s="116"/>
      <c r="O103" s="116"/>
      <c r="P103" s="38" t="s">
        <v>1118</v>
      </c>
    </row>
    <row r="104" spans="1:17" s="64" customFormat="1" ht="26.25" customHeight="1">
      <c r="A104" s="118" t="s">
        <v>779</v>
      </c>
      <c r="B104" s="32" t="s">
        <v>161</v>
      </c>
      <c r="C104" s="32">
        <v>5</v>
      </c>
      <c r="D104" s="211" t="s">
        <v>127</v>
      </c>
      <c r="E104" s="211"/>
      <c r="F104" s="119" t="s">
        <v>54</v>
      </c>
      <c r="G104" s="32">
        <v>756</v>
      </c>
      <c r="H104" s="89">
        <f>413.05*1.15</f>
        <v>475.00749999999999</v>
      </c>
      <c r="I104" s="38" t="s">
        <v>1106</v>
      </c>
      <c r="J104" s="32" t="s">
        <v>1043</v>
      </c>
      <c r="K104" s="158"/>
      <c r="L104" s="116"/>
      <c r="M104" s="116"/>
      <c r="N104" s="116"/>
      <c r="O104" s="116"/>
      <c r="P104" s="38" t="s">
        <v>1118</v>
      </c>
    </row>
    <row r="105" spans="1:17" ht="26.25" customHeight="1">
      <c r="A105" s="118" t="s">
        <v>779</v>
      </c>
      <c r="B105" s="32" t="s">
        <v>162</v>
      </c>
      <c r="C105" s="32">
        <v>12</v>
      </c>
      <c r="D105" s="211" t="s">
        <v>127</v>
      </c>
      <c r="E105" s="211"/>
      <c r="F105" s="119" t="s">
        <v>54</v>
      </c>
      <c r="G105" s="32">
        <v>756</v>
      </c>
      <c r="H105" s="89">
        <f>15.6*1.15</f>
        <v>17.939999999999998</v>
      </c>
      <c r="I105" s="38" t="s">
        <v>1106</v>
      </c>
      <c r="J105" s="32" t="s">
        <v>1043</v>
      </c>
      <c r="K105" s="116"/>
      <c r="L105" s="116"/>
      <c r="M105" s="116"/>
      <c r="N105" s="116"/>
      <c r="O105" s="116"/>
      <c r="P105" s="38" t="s">
        <v>1118</v>
      </c>
    </row>
    <row r="106" spans="1:17" s="1" customFormat="1" ht="29.25" customHeight="1">
      <c r="A106" s="118" t="s">
        <v>779</v>
      </c>
      <c r="B106" s="32" t="s">
        <v>163</v>
      </c>
      <c r="C106" s="32">
        <v>5</v>
      </c>
      <c r="D106" s="211" t="s">
        <v>127</v>
      </c>
      <c r="E106" s="211"/>
      <c r="F106" s="119" t="s">
        <v>879</v>
      </c>
      <c r="G106" s="32">
        <v>756</v>
      </c>
      <c r="H106" s="89">
        <f>295.65*1.15</f>
        <v>339.99749999999995</v>
      </c>
      <c r="I106" s="38" t="s">
        <v>880</v>
      </c>
      <c r="J106" s="32" t="s">
        <v>1043</v>
      </c>
      <c r="K106" s="150"/>
      <c r="L106" s="150"/>
      <c r="M106" s="150"/>
      <c r="N106" s="150"/>
      <c r="O106" s="150"/>
      <c r="P106" s="38" t="s">
        <v>1120</v>
      </c>
    </row>
    <row r="107" spans="1:17" s="1" customFormat="1" ht="21.75" customHeight="1">
      <c r="A107" s="118" t="s">
        <v>779</v>
      </c>
      <c r="B107" s="32" t="s">
        <v>1044</v>
      </c>
      <c r="C107" s="32">
        <v>4</v>
      </c>
      <c r="D107" s="211" t="s">
        <v>127</v>
      </c>
      <c r="E107" s="211"/>
      <c r="F107" s="119" t="s">
        <v>54</v>
      </c>
      <c r="G107" s="32">
        <v>756</v>
      </c>
      <c r="H107" s="89">
        <f>132.16*1.15</f>
        <v>151.98399999999998</v>
      </c>
      <c r="I107" s="38" t="s">
        <v>1106</v>
      </c>
      <c r="J107" s="32" t="s">
        <v>1043</v>
      </c>
      <c r="K107" s="150"/>
      <c r="L107" s="150"/>
      <c r="M107" s="150"/>
      <c r="N107" s="150"/>
      <c r="O107" s="150"/>
      <c r="P107" s="38" t="s">
        <v>1118</v>
      </c>
    </row>
    <row r="108" spans="1:17" s="1" customFormat="1" ht="12">
      <c r="A108" s="154"/>
      <c r="B108" s="151"/>
      <c r="C108" s="151"/>
      <c r="D108" s="211"/>
      <c r="E108" s="211"/>
      <c r="F108" s="117"/>
      <c r="G108" s="116"/>
      <c r="H108" s="160">
        <f>SUM(H98:H107)</f>
        <v>1979.0579999999998</v>
      </c>
      <c r="I108" s="158"/>
      <c r="J108" s="150"/>
      <c r="K108" s="150"/>
      <c r="L108" s="150"/>
      <c r="M108" s="150"/>
      <c r="N108" s="150"/>
      <c r="O108" s="150"/>
      <c r="P108" s="150"/>
    </row>
    <row r="109" spans="1:17" s="1" customFormat="1" ht="12">
      <c r="A109" s="154"/>
      <c r="B109" s="151"/>
      <c r="C109" s="151"/>
      <c r="D109" s="211"/>
      <c r="E109" s="211"/>
      <c r="F109" s="117"/>
      <c r="G109" s="116"/>
      <c r="H109" s="160"/>
      <c r="I109" s="158"/>
      <c r="J109" s="150"/>
      <c r="K109" s="150"/>
      <c r="L109" s="150"/>
      <c r="M109" s="150"/>
      <c r="N109" s="150"/>
      <c r="O109" s="150"/>
      <c r="P109" s="150"/>
    </row>
    <row r="110" spans="1:17" s="1" customFormat="1" ht="11.25" customHeight="1">
      <c r="A110" s="194" t="s">
        <v>17</v>
      </c>
      <c r="B110" s="194" t="s">
        <v>19</v>
      </c>
      <c r="C110" s="194" t="s">
        <v>20</v>
      </c>
      <c r="D110" s="194" t="s">
        <v>115</v>
      </c>
      <c r="E110" s="194" t="s">
        <v>1121</v>
      </c>
      <c r="F110" s="194" t="s">
        <v>23</v>
      </c>
      <c r="G110" s="194" t="s">
        <v>24</v>
      </c>
      <c r="H110" s="195" t="s">
        <v>25</v>
      </c>
      <c r="I110" s="195" t="s">
        <v>18</v>
      </c>
      <c r="J110" s="203" t="s">
        <v>470</v>
      </c>
      <c r="K110" s="167"/>
      <c r="L110" s="167"/>
      <c r="M110" s="167"/>
      <c r="N110" s="167"/>
      <c r="O110" s="167"/>
      <c r="P110" s="203" t="s">
        <v>1115</v>
      </c>
      <c r="Q110" s="7"/>
    </row>
    <row r="111" spans="1:17" s="1" customFormat="1" ht="15" customHeight="1">
      <c r="A111" s="194"/>
      <c r="B111" s="194"/>
      <c r="C111" s="194"/>
      <c r="D111" s="194"/>
      <c r="E111" s="194"/>
      <c r="F111" s="194"/>
      <c r="G111" s="194"/>
      <c r="H111" s="195"/>
      <c r="I111" s="195"/>
      <c r="J111" s="203"/>
      <c r="K111" s="167"/>
      <c r="L111" s="167"/>
      <c r="M111" s="167"/>
      <c r="N111" s="167"/>
      <c r="O111" s="167"/>
      <c r="P111" s="203"/>
    </row>
    <row r="112" spans="1:17" s="1" customFormat="1" ht="23.25" customHeight="1">
      <c r="A112" s="118" t="s">
        <v>791</v>
      </c>
      <c r="B112" s="32" t="s">
        <v>186</v>
      </c>
      <c r="C112" s="32">
        <v>5</v>
      </c>
      <c r="D112" s="114" t="s">
        <v>127</v>
      </c>
      <c r="E112" s="115" t="s">
        <v>790</v>
      </c>
      <c r="F112" s="119" t="s">
        <v>54</v>
      </c>
      <c r="G112" s="32">
        <v>757</v>
      </c>
      <c r="H112" s="89">
        <f>52.15*1.15</f>
        <v>59.972499999999997</v>
      </c>
      <c r="I112" s="38" t="s">
        <v>1106</v>
      </c>
      <c r="J112" s="32" t="s">
        <v>1043</v>
      </c>
      <c r="K112" s="150"/>
      <c r="L112" s="150"/>
      <c r="M112" s="150"/>
      <c r="N112" s="150"/>
      <c r="O112" s="150"/>
      <c r="P112" s="38" t="s">
        <v>1118</v>
      </c>
      <c r="Q112" s="111"/>
    </row>
    <row r="113" spans="1:21" s="1" customFormat="1" ht="22.5" customHeight="1">
      <c r="A113" s="118" t="s">
        <v>792</v>
      </c>
      <c r="B113" s="32" t="s">
        <v>74</v>
      </c>
      <c r="C113" s="32">
        <v>1</v>
      </c>
      <c r="D113" s="114" t="s">
        <v>127</v>
      </c>
      <c r="E113" s="115" t="s">
        <v>34</v>
      </c>
      <c r="F113" s="119" t="s">
        <v>33</v>
      </c>
      <c r="G113" s="32">
        <v>757</v>
      </c>
      <c r="H113" s="89">
        <v>998.00599999999997</v>
      </c>
      <c r="I113" s="38" t="s">
        <v>1064</v>
      </c>
      <c r="J113" s="32" t="s">
        <v>1043</v>
      </c>
      <c r="K113" s="150"/>
      <c r="L113" s="150"/>
      <c r="M113" s="150"/>
      <c r="N113" s="150"/>
      <c r="O113" s="150"/>
      <c r="P113" s="33" t="s">
        <v>1117</v>
      </c>
    </row>
    <row r="114" spans="1:21" ht="22.5" customHeight="1">
      <c r="A114" s="118" t="s">
        <v>76</v>
      </c>
      <c r="B114" s="32" t="s">
        <v>75</v>
      </c>
      <c r="C114" s="32">
        <v>1</v>
      </c>
      <c r="D114" s="114" t="s">
        <v>127</v>
      </c>
      <c r="E114" s="114" t="s">
        <v>34</v>
      </c>
      <c r="F114" s="119" t="s">
        <v>33</v>
      </c>
      <c r="G114" s="32">
        <v>757</v>
      </c>
      <c r="H114" s="89">
        <v>998.01</v>
      </c>
      <c r="I114" s="38" t="s">
        <v>1064</v>
      </c>
      <c r="J114" s="32" t="s">
        <v>1043</v>
      </c>
      <c r="K114" s="116"/>
      <c r="L114" s="116"/>
      <c r="M114" s="116"/>
      <c r="N114" s="116"/>
      <c r="O114" s="116"/>
      <c r="P114" s="33" t="s">
        <v>1117</v>
      </c>
    </row>
    <row r="115" spans="1:21" s="1" customFormat="1" ht="24" customHeight="1">
      <c r="A115" s="118" t="s">
        <v>78</v>
      </c>
      <c r="B115" s="32" t="s">
        <v>75</v>
      </c>
      <c r="C115" s="32">
        <v>1</v>
      </c>
      <c r="D115" s="114" t="s">
        <v>127</v>
      </c>
      <c r="E115" s="114" t="s">
        <v>34</v>
      </c>
      <c r="F115" s="119" t="s">
        <v>33</v>
      </c>
      <c r="G115" s="32">
        <v>757</v>
      </c>
      <c r="H115" s="89">
        <v>998.01</v>
      </c>
      <c r="I115" s="38" t="s">
        <v>1064</v>
      </c>
      <c r="J115" s="32" t="s">
        <v>1043</v>
      </c>
      <c r="K115" s="150"/>
      <c r="L115" s="150"/>
      <c r="M115" s="150"/>
      <c r="N115" s="150"/>
      <c r="O115" s="150"/>
      <c r="P115" s="33" t="s">
        <v>1117</v>
      </c>
    </row>
    <row r="116" spans="1:21" s="1" customFormat="1" ht="21.75" customHeight="1">
      <c r="A116" s="118" t="s">
        <v>182</v>
      </c>
      <c r="B116" s="32" t="s">
        <v>74</v>
      </c>
      <c r="C116" s="32">
        <v>1</v>
      </c>
      <c r="D116" s="114" t="s">
        <v>127</v>
      </c>
      <c r="E116" s="115" t="s">
        <v>34</v>
      </c>
      <c r="F116" s="119" t="s">
        <v>33</v>
      </c>
      <c r="G116" s="32">
        <v>757</v>
      </c>
      <c r="H116" s="89">
        <v>998.01</v>
      </c>
      <c r="I116" s="38" t="s">
        <v>1064</v>
      </c>
      <c r="J116" s="32" t="s">
        <v>1043</v>
      </c>
      <c r="K116" s="150"/>
      <c r="L116" s="150"/>
      <c r="M116" s="150"/>
      <c r="N116" s="150"/>
      <c r="O116" s="150"/>
      <c r="P116" s="33" t="s">
        <v>1117</v>
      </c>
    </row>
    <row r="117" spans="1:21" s="1" customFormat="1" ht="23.25" customHeight="1">
      <c r="A117" s="118" t="s">
        <v>183</v>
      </c>
      <c r="B117" s="32" t="s">
        <v>74</v>
      </c>
      <c r="C117" s="32">
        <v>1</v>
      </c>
      <c r="D117" s="114" t="s">
        <v>127</v>
      </c>
      <c r="E117" s="114" t="s">
        <v>34</v>
      </c>
      <c r="F117" s="119" t="s">
        <v>33</v>
      </c>
      <c r="G117" s="32">
        <v>757</v>
      </c>
      <c r="H117" s="89">
        <v>998.01</v>
      </c>
      <c r="I117" s="38" t="s">
        <v>1064</v>
      </c>
      <c r="J117" s="32" t="s">
        <v>1043</v>
      </c>
      <c r="K117" s="150"/>
      <c r="L117" s="150"/>
      <c r="M117" s="150"/>
      <c r="N117" s="150"/>
      <c r="O117" s="150"/>
      <c r="P117" s="33" t="s">
        <v>1117</v>
      </c>
    </row>
    <row r="118" spans="1:21" s="1" customFormat="1" ht="25.5" customHeight="1">
      <c r="A118" s="118" t="s">
        <v>73</v>
      </c>
      <c r="B118" s="32" t="s">
        <v>75</v>
      </c>
      <c r="C118" s="32">
        <v>1</v>
      </c>
      <c r="D118" s="114" t="s">
        <v>127</v>
      </c>
      <c r="E118" s="114" t="s">
        <v>34</v>
      </c>
      <c r="F118" s="119" t="s">
        <v>33</v>
      </c>
      <c r="G118" s="32">
        <v>757</v>
      </c>
      <c r="H118" s="89">
        <v>998.01</v>
      </c>
      <c r="I118" s="38" t="s">
        <v>1064</v>
      </c>
      <c r="J118" s="32" t="s">
        <v>1043</v>
      </c>
      <c r="K118" s="150"/>
      <c r="L118" s="150"/>
      <c r="M118" s="150"/>
      <c r="N118" s="150"/>
      <c r="O118" s="150"/>
      <c r="P118" s="33" t="s">
        <v>1117</v>
      </c>
    </row>
    <row r="119" spans="1:21" s="1" customFormat="1" ht="24.75" customHeight="1">
      <c r="A119" s="118" t="s">
        <v>779</v>
      </c>
      <c r="B119" s="32" t="s">
        <v>164</v>
      </c>
      <c r="C119" s="32">
        <v>5</v>
      </c>
      <c r="D119" s="114" t="s">
        <v>127</v>
      </c>
      <c r="E119" s="114" t="s">
        <v>780</v>
      </c>
      <c r="F119" s="119" t="s">
        <v>54</v>
      </c>
      <c r="G119" s="32">
        <v>757</v>
      </c>
      <c r="H119" s="89">
        <f>236.5*1.15</f>
        <v>271.97499999999997</v>
      </c>
      <c r="I119" s="38" t="s">
        <v>1106</v>
      </c>
      <c r="J119" s="32" t="s">
        <v>1043</v>
      </c>
      <c r="K119" s="150"/>
      <c r="L119" s="150"/>
      <c r="M119" s="150"/>
      <c r="N119" s="150"/>
      <c r="O119" s="150"/>
      <c r="P119" s="38" t="s">
        <v>1118</v>
      </c>
    </row>
    <row r="120" spans="1:21" s="1" customFormat="1" ht="11.25">
      <c r="A120" s="116"/>
      <c r="B120" s="116"/>
      <c r="C120" s="116"/>
      <c r="D120" s="116"/>
      <c r="E120" s="116"/>
      <c r="F120" s="161"/>
      <c r="G120" s="116"/>
      <c r="H120" s="162">
        <f>SUM(H112:H119)</f>
        <v>6320.0035000000007</v>
      </c>
      <c r="I120" s="116"/>
      <c r="J120" s="163"/>
      <c r="K120" s="150"/>
      <c r="L120" s="150"/>
      <c r="M120" s="150"/>
      <c r="N120" s="150"/>
      <c r="O120" s="150"/>
      <c r="P120" s="150"/>
    </row>
    <row r="121" spans="1:21" s="1" customFormat="1" ht="11.25">
      <c r="A121" s="116"/>
      <c r="B121" s="116"/>
      <c r="C121" s="116"/>
      <c r="D121" s="116"/>
      <c r="E121" s="116"/>
      <c r="F121" s="161"/>
      <c r="G121" s="116"/>
      <c r="H121" s="162"/>
      <c r="I121" s="116"/>
      <c r="J121" s="163"/>
      <c r="K121" s="150"/>
      <c r="L121" s="150"/>
      <c r="M121" s="150"/>
      <c r="N121" s="150"/>
      <c r="O121" s="150"/>
      <c r="P121" s="150"/>
    </row>
    <row r="122" spans="1:21" s="1" customFormat="1" ht="11.25">
      <c r="A122" s="116"/>
      <c r="B122" s="116"/>
      <c r="C122" s="116"/>
      <c r="D122" s="116"/>
      <c r="E122" s="116"/>
      <c r="F122" s="161"/>
      <c r="G122" s="116"/>
      <c r="H122" s="162">
        <f>+H38+H53+H67+H81+H94+H108+H120</f>
        <v>30501.741499999996</v>
      </c>
      <c r="I122" s="116"/>
      <c r="J122" s="163"/>
      <c r="K122" s="150"/>
      <c r="L122" s="150"/>
      <c r="M122" s="150"/>
      <c r="N122" s="150"/>
      <c r="O122" s="150"/>
      <c r="P122" s="150"/>
    </row>
    <row r="123" spans="1:21" s="1" customFormat="1" ht="11.25" customHeight="1">
      <c r="A123" s="194" t="s">
        <v>17</v>
      </c>
      <c r="B123" s="194" t="s">
        <v>19</v>
      </c>
      <c r="C123" s="194" t="s">
        <v>20</v>
      </c>
      <c r="D123" s="194" t="s">
        <v>115</v>
      </c>
      <c r="E123" s="194" t="s">
        <v>1121</v>
      </c>
      <c r="F123" s="194" t="s">
        <v>23</v>
      </c>
      <c r="G123" s="194" t="s">
        <v>24</v>
      </c>
      <c r="H123" s="195" t="s">
        <v>25</v>
      </c>
      <c r="I123" s="195" t="s">
        <v>18</v>
      </c>
      <c r="J123" s="203" t="s">
        <v>470</v>
      </c>
      <c r="K123" s="167"/>
      <c r="L123" s="167"/>
      <c r="M123" s="167"/>
      <c r="N123" s="167"/>
      <c r="O123" s="167"/>
      <c r="P123" s="203" t="s">
        <v>1115</v>
      </c>
      <c r="Q123" s="7"/>
    </row>
    <row r="124" spans="1:21" s="1" customFormat="1" ht="15" customHeight="1">
      <c r="A124" s="194"/>
      <c r="B124" s="194"/>
      <c r="C124" s="194"/>
      <c r="D124" s="194"/>
      <c r="E124" s="194"/>
      <c r="F124" s="194"/>
      <c r="G124" s="194"/>
      <c r="H124" s="195"/>
      <c r="I124" s="195"/>
      <c r="J124" s="203"/>
      <c r="K124" s="167"/>
      <c r="L124" s="167"/>
      <c r="M124" s="167"/>
      <c r="N124" s="167"/>
      <c r="O124" s="167"/>
      <c r="P124" s="203"/>
    </row>
    <row r="125" spans="1:21" s="1" customFormat="1" ht="26.25" customHeight="1">
      <c r="A125" s="118" t="s">
        <v>205</v>
      </c>
      <c r="B125" s="32" t="s">
        <v>206</v>
      </c>
      <c r="C125" s="32">
        <v>1</v>
      </c>
      <c r="D125" s="114" t="s">
        <v>793</v>
      </c>
      <c r="E125" s="114" t="s">
        <v>207</v>
      </c>
      <c r="F125" s="119" t="s">
        <v>54</v>
      </c>
      <c r="G125" s="32">
        <v>473</v>
      </c>
      <c r="H125" s="89">
        <v>356.5</v>
      </c>
      <c r="I125" s="38" t="s">
        <v>1095</v>
      </c>
      <c r="J125" s="32" t="s">
        <v>1043</v>
      </c>
      <c r="K125" s="150"/>
      <c r="L125" s="150"/>
      <c r="M125" s="150"/>
      <c r="N125" s="150"/>
      <c r="O125" s="150"/>
      <c r="P125" s="38" t="s">
        <v>1116</v>
      </c>
    </row>
    <row r="126" spans="1:21" s="1" customFormat="1" ht="24.75" customHeight="1">
      <c r="A126" s="118" t="s">
        <v>208</v>
      </c>
      <c r="B126" s="32" t="s">
        <v>206</v>
      </c>
      <c r="C126" s="32">
        <v>1</v>
      </c>
      <c r="D126" s="114" t="s">
        <v>793</v>
      </c>
      <c r="E126" s="114" t="s">
        <v>207</v>
      </c>
      <c r="F126" s="119" t="s">
        <v>54</v>
      </c>
      <c r="G126" s="32">
        <v>473</v>
      </c>
      <c r="H126" s="89">
        <v>356.5</v>
      </c>
      <c r="I126" s="38" t="s">
        <v>1091</v>
      </c>
      <c r="J126" s="32" t="s">
        <v>1043</v>
      </c>
      <c r="K126" s="114"/>
      <c r="L126" s="114"/>
      <c r="M126" s="114"/>
      <c r="N126" s="114"/>
      <c r="O126" s="114"/>
      <c r="P126" s="38" t="s">
        <v>1116</v>
      </c>
      <c r="Q126" s="7"/>
      <c r="R126" s="7"/>
      <c r="S126" s="7"/>
      <c r="T126" s="7"/>
      <c r="U126" s="7"/>
    </row>
    <row r="127" spans="1:21" s="1" customFormat="1" ht="26.25" customHeight="1">
      <c r="A127" s="118" t="s">
        <v>209</v>
      </c>
      <c r="B127" s="32" t="s">
        <v>206</v>
      </c>
      <c r="C127" s="32">
        <v>1</v>
      </c>
      <c r="D127" s="114" t="s">
        <v>793</v>
      </c>
      <c r="E127" s="114" t="s">
        <v>207</v>
      </c>
      <c r="F127" s="119" t="s">
        <v>54</v>
      </c>
      <c r="G127" s="32">
        <v>473</v>
      </c>
      <c r="H127" s="89">
        <v>356.5</v>
      </c>
      <c r="I127" s="38" t="s">
        <v>1091</v>
      </c>
      <c r="J127" s="32" t="s">
        <v>1043</v>
      </c>
      <c r="K127" s="114"/>
      <c r="L127" s="114"/>
      <c r="M127" s="114"/>
      <c r="N127" s="114"/>
      <c r="O127" s="114"/>
      <c r="P127" s="38" t="s">
        <v>1116</v>
      </c>
      <c r="Q127" s="7"/>
      <c r="R127" s="7"/>
      <c r="S127" s="7"/>
      <c r="T127" s="7"/>
      <c r="U127" s="7"/>
    </row>
    <row r="128" spans="1:21" ht="27.75" customHeight="1">
      <c r="A128" s="118" t="s">
        <v>210</v>
      </c>
      <c r="B128" s="32" t="s">
        <v>206</v>
      </c>
      <c r="C128" s="32">
        <v>1</v>
      </c>
      <c r="D128" s="114" t="s">
        <v>793</v>
      </c>
      <c r="E128" s="114" t="s">
        <v>207</v>
      </c>
      <c r="F128" s="119" t="s">
        <v>54</v>
      </c>
      <c r="G128" s="32">
        <v>473</v>
      </c>
      <c r="H128" s="89">
        <v>356.5</v>
      </c>
      <c r="I128" s="38" t="s">
        <v>1091</v>
      </c>
      <c r="J128" s="32" t="s">
        <v>1043</v>
      </c>
      <c r="K128" s="116"/>
      <c r="L128" s="116"/>
      <c r="M128" s="116"/>
      <c r="N128" s="116"/>
      <c r="O128" s="116"/>
      <c r="P128" s="38" t="s">
        <v>1116</v>
      </c>
    </row>
    <row r="129" spans="1:23" s="62" customFormat="1" ht="24" customHeight="1">
      <c r="A129" s="118" t="s">
        <v>211</v>
      </c>
      <c r="B129" s="32" t="s">
        <v>206</v>
      </c>
      <c r="C129" s="32">
        <v>1</v>
      </c>
      <c r="D129" s="114" t="s">
        <v>793</v>
      </c>
      <c r="E129" s="114" t="s">
        <v>207</v>
      </c>
      <c r="F129" s="119" t="s">
        <v>54</v>
      </c>
      <c r="G129" s="32">
        <v>473</v>
      </c>
      <c r="H129" s="89">
        <v>356.5</v>
      </c>
      <c r="I129" s="38" t="s">
        <v>1106</v>
      </c>
      <c r="J129" s="32" t="s">
        <v>1043</v>
      </c>
      <c r="K129" s="151"/>
      <c r="L129" s="151"/>
      <c r="M129" s="151"/>
      <c r="N129" s="151"/>
      <c r="O129" s="151"/>
      <c r="P129" s="38" t="s">
        <v>1118</v>
      </c>
      <c r="Q129" s="143"/>
    </row>
    <row r="130" spans="1:23" s="62" customFormat="1" ht="27" customHeight="1">
      <c r="A130" s="118" t="s">
        <v>212</v>
      </c>
      <c r="B130" s="32" t="s">
        <v>213</v>
      </c>
      <c r="C130" s="32">
        <v>1</v>
      </c>
      <c r="D130" s="114" t="s">
        <v>793</v>
      </c>
      <c r="E130" s="114" t="s">
        <v>214</v>
      </c>
      <c r="F130" s="119" t="s">
        <v>54</v>
      </c>
      <c r="G130" s="32">
        <v>473</v>
      </c>
      <c r="H130" s="89">
        <v>4823.76</v>
      </c>
      <c r="I130" s="38" t="s">
        <v>1091</v>
      </c>
      <c r="J130" s="32" t="s">
        <v>1043</v>
      </c>
      <c r="K130" s="151"/>
      <c r="L130" s="151"/>
      <c r="M130" s="151"/>
      <c r="N130" s="151"/>
      <c r="O130" s="151"/>
      <c r="P130" s="38" t="s">
        <v>1116</v>
      </c>
    </row>
    <row r="131" spans="1:23" s="1" customFormat="1" ht="23.25" customHeight="1">
      <c r="A131" s="118" t="s">
        <v>215</v>
      </c>
      <c r="B131" s="32" t="s">
        <v>213</v>
      </c>
      <c r="C131" s="32">
        <v>1</v>
      </c>
      <c r="D131" s="114" t="s">
        <v>793</v>
      </c>
      <c r="E131" s="114" t="s">
        <v>214</v>
      </c>
      <c r="F131" s="119" t="s">
        <v>54</v>
      </c>
      <c r="G131" s="32">
        <v>473</v>
      </c>
      <c r="H131" s="89">
        <v>4823.76</v>
      </c>
      <c r="I131" s="38" t="s">
        <v>1091</v>
      </c>
      <c r="J131" s="32" t="s">
        <v>1043</v>
      </c>
      <c r="K131" s="150"/>
      <c r="L131" s="150"/>
      <c r="M131" s="150"/>
      <c r="N131" s="150"/>
      <c r="O131" s="150"/>
      <c r="P131" s="38" t="s">
        <v>1116</v>
      </c>
    </row>
    <row r="132" spans="1:23" s="1" customFormat="1" ht="27.75" customHeight="1">
      <c r="A132" s="118" t="s">
        <v>216</v>
      </c>
      <c r="B132" s="32" t="s">
        <v>794</v>
      </c>
      <c r="C132" s="32">
        <v>1</v>
      </c>
      <c r="D132" s="114" t="s">
        <v>793</v>
      </c>
      <c r="E132" s="115" t="s">
        <v>217</v>
      </c>
      <c r="F132" s="119" t="s">
        <v>184</v>
      </c>
      <c r="G132" s="32">
        <v>473</v>
      </c>
      <c r="H132" s="89">
        <v>2484.87</v>
      </c>
      <c r="I132" s="38" t="s">
        <v>1106</v>
      </c>
      <c r="J132" s="32" t="s">
        <v>1043</v>
      </c>
      <c r="K132" s="150"/>
      <c r="L132" s="150"/>
      <c r="M132" s="150"/>
      <c r="N132" s="150"/>
      <c r="O132" s="150"/>
      <c r="P132" s="38" t="s">
        <v>1118</v>
      </c>
    </row>
    <row r="133" spans="1:23" s="1" customFormat="1" ht="26.25" customHeight="1">
      <c r="A133" s="118" t="s">
        <v>218</v>
      </c>
      <c r="B133" s="32" t="s">
        <v>219</v>
      </c>
      <c r="C133" s="32">
        <v>1</v>
      </c>
      <c r="D133" s="114" t="s">
        <v>793</v>
      </c>
      <c r="E133" s="115" t="s">
        <v>217</v>
      </c>
      <c r="F133" s="119" t="s">
        <v>184</v>
      </c>
      <c r="G133" s="32">
        <v>473</v>
      </c>
      <c r="H133" s="89">
        <v>5747.18</v>
      </c>
      <c r="I133" s="38" t="s">
        <v>795</v>
      </c>
      <c r="J133" s="32" t="s">
        <v>1043</v>
      </c>
      <c r="K133" s="150"/>
      <c r="L133" s="157"/>
      <c r="M133" s="157"/>
      <c r="N133" s="157"/>
      <c r="O133" s="157"/>
      <c r="P133" s="33" t="s">
        <v>1117</v>
      </c>
      <c r="Q133" s="63"/>
      <c r="R133" s="63"/>
      <c r="S133" s="7"/>
      <c r="T133" s="7"/>
      <c r="U133" s="7"/>
      <c r="V133" s="7"/>
      <c r="W133" s="7"/>
    </row>
    <row r="134" spans="1:23" ht="11.25">
      <c r="A134" s="116"/>
      <c r="B134" s="116"/>
      <c r="C134" s="116"/>
      <c r="D134" s="116"/>
      <c r="E134" s="116"/>
      <c r="F134" s="116"/>
      <c r="G134" s="116"/>
      <c r="H134" s="162">
        <f>SUM(H125:H133)</f>
        <v>19662.07</v>
      </c>
      <c r="I134" s="116"/>
      <c r="J134" s="161"/>
      <c r="K134" s="116"/>
      <c r="L134" s="116"/>
      <c r="M134" s="116"/>
      <c r="N134" s="116"/>
      <c r="O134" s="116"/>
      <c r="P134" s="116"/>
    </row>
    <row r="135" spans="1:23" ht="11.25">
      <c r="A135" s="116"/>
      <c r="B135" s="116"/>
      <c r="C135" s="116"/>
      <c r="D135" s="116"/>
      <c r="E135" s="116"/>
      <c r="F135" s="116"/>
      <c r="G135" s="116"/>
      <c r="H135" s="162"/>
      <c r="I135" s="116"/>
      <c r="J135" s="161"/>
      <c r="K135" s="116"/>
      <c r="L135" s="116"/>
      <c r="M135" s="116"/>
      <c r="N135" s="116"/>
      <c r="O135" s="116"/>
      <c r="P135" s="116"/>
    </row>
    <row r="136" spans="1:23" s="1" customFormat="1" ht="11.25" customHeight="1">
      <c r="A136" s="194" t="s">
        <v>17</v>
      </c>
      <c r="B136" s="194" t="s">
        <v>19</v>
      </c>
      <c r="C136" s="194" t="s">
        <v>20</v>
      </c>
      <c r="D136" s="194" t="s">
        <v>115</v>
      </c>
      <c r="E136" s="194" t="s">
        <v>1121</v>
      </c>
      <c r="F136" s="194" t="s">
        <v>23</v>
      </c>
      <c r="G136" s="194" t="s">
        <v>24</v>
      </c>
      <c r="H136" s="195" t="s">
        <v>25</v>
      </c>
      <c r="I136" s="195" t="s">
        <v>18</v>
      </c>
      <c r="J136" s="203" t="s">
        <v>470</v>
      </c>
      <c r="K136" s="167"/>
      <c r="L136" s="167"/>
      <c r="M136" s="167"/>
      <c r="N136" s="167"/>
      <c r="O136" s="167"/>
      <c r="P136" s="203" t="s">
        <v>1115</v>
      </c>
      <c r="Q136" s="7"/>
    </row>
    <row r="137" spans="1:23" s="1" customFormat="1" ht="15" customHeight="1">
      <c r="A137" s="194"/>
      <c r="B137" s="194"/>
      <c r="C137" s="194"/>
      <c r="D137" s="194"/>
      <c r="E137" s="194"/>
      <c r="F137" s="194"/>
      <c r="G137" s="194"/>
      <c r="H137" s="195"/>
      <c r="I137" s="195"/>
      <c r="J137" s="203"/>
      <c r="K137" s="167"/>
      <c r="L137" s="167"/>
      <c r="M137" s="167"/>
      <c r="N137" s="167"/>
      <c r="O137" s="167"/>
      <c r="P137" s="203"/>
    </row>
    <row r="138" spans="1:23" s="1" customFormat="1" ht="25.5" customHeight="1">
      <c r="A138" s="118" t="s">
        <v>225</v>
      </c>
      <c r="B138" s="32" t="s">
        <v>226</v>
      </c>
      <c r="C138" s="32">
        <v>1</v>
      </c>
      <c r="D138" s="114" t="s">
        <v>796</v>
      </c>
      <c r="E138" s="114" t="s">
        <v>797</v>
      </c>
      <c r="F138" s="119" t="s">
        <v>54</v>
      </c>
      <c r="G138" s="32">
        <v>316</v>
      </c>
      <c r="H138" s="89">
        <v>2500</v>
      </c>
      <c r="I138" s="38" t="s">
        <v>1106</v>
      </c>
      <c r="J138" s="32" t="s">
        <v>1043</v>
      </c>
      <c r="K138" s="150"/>
      <c r="L138" s="150"/>
      <c r="M138" s="150"/>
      <c r="N138" s="150"/>
      <c r="O138" s="150"/>
      <c r="P138" s="38" t="s">
        <v>1116</v>
      </c>
      <c r="Q138" s="111"/>
    </row>
    <row r="139" spans="1:23" s="1" customFormat="1" ht="23.25" customHeight="1">
      <c r="A139" s="118" t="s">
        <v>227</v>
      </c>
      <c r="B139" s="32" t="s">
        <v>228</v>
      </c>
      <c r="C139" s="32">
        <v>1</v>
      </c>
      <c r="D139" s="114" t="s">
        <v>796</v>
      </c>
      <c r="E139" s="114" t="s">
        <v>797</v>
      </c>
      <c r="F139" s="119" t="s">
        <v>54</v>
      </c>
      <c r="G139" s="32">
        <v>316</v>
      </c>
      <c r="H139" s="89">
        <v>2500</v>
      </c>
      <c r="I139" s="38" t="s">
        <v>221</v>
      </c>
      <c r="J139" s="32" t="s">
        <v>1043</v>
      </c>
      <c r="K139" s="150"/>
      <c r="L139" s="150"/>
      <c r="M139" s="150"/>
      <c r="N139" s="150"/>
      <c r="O139" s="150"/>
      <c r="P139" s="33" t="s">
        <v>1117</v>
      </c>
    </row>
    <row r="140" spans="1:23" s="1" customFormat="1" ht="25.5" customHeight="1">
      <c r="A140" s="118" t="s">
        <v>247</v>
      </c>
      <c r="B140" s="32" t="s">
        <v>249</v>
      </c>
      <c r="C140" s="32">
        <v>1</v>
      </c>
      <c r="D140" s="114" t="s">
        <v>796</v>
      </c>
      <c r="E140" s="114" t="s">
        <v>797</v>
      </c>
      <c r="F140" s="119" t="s">
        <v>184</v>
      </c>
      <c r="G140" s="32">
        <v>316</v>
      </c>
      <c r="H140" s="89">
        <v>800</v>
      </c>
      <c r="I140" s="38" t="s">
        <v>1086</v>
      </c>
      <c r="J140" s="32" t="s">
        <v>1085</v>
      </c>
      <c r="K140" s="150"/>
      <c r="L140" s="150"/>
      <c r="M140" s="150"/>
      <c r="N140" s="150"/>
      <c r="O140" s="150"/>
      <c r="P140" s="33" t="s">
        <v>1117</v>
      </c>
    </row>
    <row r="141" spans="1:23" s="1" customFormat="1" ht="27" customHeight="1">
      <c r="A141" s="118" t="s">
        <v>248</v>
      </c>
      <c r="B141" s="119" t="s">
        <v>229</v>
      </c>
      <c r="C141" s="32">
        <v>1</v>
      </c>
      <c r="D141" s="114" t="s">
        <v>796</v>
      </c>
      <c r="E141" s="114" t="s">
        <v>797</v>
      </c>
      <c r="F141" s="119" t="s">
        <v>184</v>
      </c>
      <c r="G141" s="32">
        <v>316</v>
      </c>
      <c r="H141" s="89">
        <v>800</v>
      </c>
      <c r="I141" s="38" t="s">
        <v>1091</v>
      </c>
      <c r="J141" s="32" t="s">
        <v>1043</v>
      </c>
      <c r="K141" s="150"/>
      <c r="L141" s="150"/>
      <c r="M141" s="150"/>
      <c r="N141" s="150"/>
      <c r="O141" s="150"/>
      <c r="P141" s="38" t="s">
        <v>1116</v>
      </c>
    </row>
    <row r="142" spans="1:23" s="1" customFormat="1" ht="11.25">
      <c r="A142" s="116"/>
      <c r="B142" s="116"/>
      <c r="C142" s="116"/>
      <c r="D142" s="116"/>
      <c r="E142" s="116"/>
      <c r="F142" s="116"/>
      <c r="G142" s="116"/>
      <c r="H142" s="162">
        <f>SUM(H138:H141)</f>
        <v>6600</v>
      </c>
      <c r="I142" s="116"/>
      <c r="J142" s="164"/>
      <c r="K142" s="150"/>
      <c r="L142" s="150"/>
      <c r="M142" s="150"/>
      <c r="N142" s="150"/>
      <c r="O142" s="150"/>
      <c r="P142" s="150"/>
    </row>
    <row r="143" spans="1:23" s="1" customFormat="1" ht="11.25" customHeight="1">
      <c r="A143" s="194" t="s">
        <v>17</v>
      </c>
      <c r="B143" s="194" t="s">
        <v>19</v>
      </c>
      <c r="C143" s="194" t="s">
        <v>20</v>
      </c>
      <c r="D143" s="194" t="s">
        <v>115</v>
      </c>
      <c r="E143" s="194" t="s">
        <v>1121</v>
      </c>
      <c r="F143" s="194" t="s">
        <v>23</v>
      </c>
      <c r="G143" s="194" t="s">
        <v>24</v>
      </c>
      <c r="H143" s="195" t="s">
        <v>25</v>
      </c>
      <c r="I143" s="195" t="s">
        <v>18</v>
      </c>
      <c r="J143" s="203" t="s">
        <v>470</v>
      </c>
      <c r="K143" s="167"/>
      <c r="L143" s="167"/>
      <c r="M143" s="167"/>
      <c r="N143" s="167"/>
      <c r="O143" s="167"/>
      <c r="P143" s="203" t="s">
        <v>1115</v>
      </c>
      <c r="Q143" s="7"/>
    </row>
    <row r="144" spans="1:23" s="1" customFormat="1" ht="15" customHeight="1">
      <c r="A144" s="194"/>
      <c r="B144" s="194"/>
      <c r="C144" s="194"/>
      <c r="D144" s="194"/>
      <c r="E144" s="194"/>
      <c r="F144" s="194"/>
      <c r="G144" s="194"/>
      <c r="H144" s="195"/>
      <c r="I144" s="195"/>
      <c r="J144" s="203"/>
      <c r="K144" s="167"/>
      <c r="L144" s="167"/>
      <c r="M144" s="167"/>
      <c r="N144" s="167"/>
      <c r="O144" s="167"/>
      <c r="P144" s="203"/>
    </row>
    <row r="145" spans="1:23" s="1" customFormat="1" ht="25.5" customHeight="1">
      <c r="A145" s="118" t="s">
        <v>246</v>
      </c>
      <c r="B145" s="119" t="s">
        <v>233</v>
      </c>
      <c r="C145" s="32">
        <v>1</v>
      </c>
      <c r="D145" s="114" t="s">
        <v>798</v>
      </c>
      <c r="E145" s="114" t="s">
        <v>799</v>
      </c>
      <c r="F145" s="119" t="s">
        <v>54</v>
      </c>
      <c r="G145" s="32">
        <v>74</v>
      </c>
      <c r="H145" s="89">
        <f>1200*1.15</f>
        <v>1380</v>
      </c>
      <c r="I145" s="38" t="s">
        <v>1091</v>
      </c>
      <c r="J145" s="32" t="s">
        <v>1043</v>
      </c>
      <c r="K145" s="150"/>
      <c r="L145" s="150"/>
      <c r="M145" s="150"/>
      <c r="N145" s="150"/>
      <c r="O145" s="150"/>
      <c r="P145" s="38" t="s">
        <v>1116</v>
      </c>
    </row>
    <row r="146" spans="1:23" s="1" customFormat="1" ht="26.25" customHeight="1">
      <c r="A146" s="118" t="s">
        <v>237</v>
      </c>
      <c r="B146" s="119" t="s">
        <v>233</v>
      </c>
      <c r="C146" s="32">
        <v>1</v>
      </c>
      <c r="D146" s="114" t="s">
        <v>798</v>
      </c>
      <c r="E146" s="114" t="s">
        <v>799</v>
      </c>
      <c r="F146" s="119" t="s">
        <v>54</v>
      </c>
      <c r="G146" s="32">
        <v>74</v>
      </c>
      <c r="H146" s="89">
        <f>1200*1.15</f>
        <v>1380</v>
      </c>
      <c r="I146" s="38" t="s">
        <v>1091</v>
      </c>
      <c r="J146" s="32" t="s">
        <v>1043</v>
      </c>
      <c r="K146" s="150"/>
      <c r="L146" s="150"/>
      <c r="M146" s="150"/>
      <c r="N146" s="150"/>
      <c r="O146" s="150"/>
      <c r="P146" s="38" t="s">
        <v>1116</v>
      </c>
    </row>
    <row r="147" spans="1:23" s="1" customFormat="1" ht="22.5" customHeight="1">
      <c r="A147" s="118" t="s">
        <v>238</v>
      </c>
      <c r="B147" s="119" t="s">
        <v>233</v>
      </c>
      <c r="C147" s="32">
        <v>1</v>
      </c>
      <c r="D147" s="114" t="s">
        <v>798</v>
      </c>
      <c r="E147" s="114" t="s">
        <v>799</v>
      </c>
      <c r="F147" s="119" t="s">
        <v>184</v>
      </c>
      <c r="G147" s="32">
        <v>74</v>
      </c>
      <c r="H147" s="89">
        <f>1200*1.15</f>
        <v>1380</v>
      </c>
      <c r="I147" s="38" t="s">
        <v>801</v>
      </c>
      <c r="J147" s="32" t="s">
        <v>1043</v>
      </c>
      <c r="K147" s="150"/>
      <c r="L147" s="150"/>
      <c r="M147" s="150"/>
      <c r="N147" s="150"/>
      <c r="O147" s="150"/>
      <c r="P147" s="33" t="s">
        <v>1117</v>
      </c>
    </row>
    <row r="148" spans="1:23" ht="22.5" customHeight="1">
      <c r="A148" s="118" t="s">
        <v>239</v>
      </c>
      <c r="B148" s="119" t="s">
        <v>233</v>
      </c>
      <c r="C148" s="32">
        <v>1</v>
      </c>
      <c r="D148" s="114" t="s">
        <v>798</v>
      </c>
      <c r="E148" s="114" t="s">
        <v>799</v>
      </c>
      <c r="F148" s="119" t="s">
        <v>184</v>
      </c>
      <c r="G148" s="32">
        <v>74</v>
      </c>
      <c r="H148" s="89">
        <f>1200*1.15</f>
        <v>1380</v>
      </c>
      <c r="I148" s="38" t="s">
        <v>1067</v>
      </c>
      <c r="J148" s="32" t="s">
        <v>1043</v>
      </c>
      <c r="K148" s="116"/>
      <c r="L148" s="116"/>
      <c r="M148" s="116"/>
      <c r="N148" s="116"/>
      <c r="O148" s="116"/>
      <c r="P148" s="33" t="s">
        <v>1117</v>
      </c>
    </row>
    <row r="149" spans="1:23" ht="24" customHeight="1">
      <c r="A149" s="118" t="s">
        <v>240</v>
      </c>
      <c r="B149" s="119" t="s">
        <v>233</v>
      </c>
      <c r="C149" s="32">
        <v>1</v>
      </c>
      <c r="D149" s="114" t="s">
        <v>798</v>
      </c>
      <c r="E149" s="114" t="s">
        <v>799</v>
      </c>
      <c r="F149" s="119" t="s">
        <v>54</v>
      </c>
      <c r="G149" s="32">
        <v>74</v>
      </c>
      <c r="H149" s="89">
        <f>1200*1.15</f>
        <v>1380</v>
      </c>
      <c r="I149" s="38" t="s">
        <v>1091</v>
      </c>
      <c r="J149" s="32" t="s">
        <v>1043</v>
      </c>
      <c r="K149" s="116"/>
      <c r="L149" s="116"/>
      <c r="M149" s="116"/>
      <c r="N149" s="116"/>
      <c r="O149" s="116"/>
      <c r="P149" s="38" t="s">
        <v>1116</v>
      </c>
    </row>
    <row r="150" spans="1:23" ht="24" customHeight="1">
      <c r="A150" s="118" t="s">
        <v>230</v>
      </c>
      <c r="B150" s="119" t="s">
        <v>233</v>
      </c>
      <c r="C150" s="32">
        <v>1</v>
      </c>
      <c r="D150" s="114" t="s">
        <v>798</v>
      </c>
      <c r="E150" s="114" t="s">
        <v>799</v>
      </c>
      <c r="F150" s="119" t="s">
        <v>54</v>
      </c>
      <c r="G150" s="32">
        <v>74</v>
      </c>
      <c r="H150" s="89">
        <v>1380</v>
      </c>
      <c r="I150" s="38" t="s">
        <v>1091</v>
      </c>
      <c r="J150" s="32" t="s">
        <v>1043</v>
      </c>
      <c r="K150" s="116"/>
      <c r="L150" s="116"/>
      <c r="M150" s="116"/>
      <c r="N150" s="116"/>
      <c r="O150" s="116"/>
      <c r="P150" s="38" t="s">
        <v>1116</v>
      </c>
    </row>
    <row r="151" spans="1:23" s="1" customFormat="1" ht="23.25" customHeight="1">
      <c r="A151" s="118" t="s">
        <v>232</v>
      </c>
      <c r="B151" s="119" t="s">
        <v>233</v>
      </c>
      <c r="C151" s="32">
        <v>1</v>
      </c>
      <c r="D151" s="114" t="s">
        <v>798</v>
      </c>
      <c r="E151" s="114" t="s">
        <v>799</v>
      </c>
      <c r="F151" s="119" t="s">
        <v>54</v>
      </c>
      <c r="G151" s="32">
        <v>74</v>
      </c>
      <c r="H151" s="89">
        <v>1380</v>
      </c>
      <c r="I151" s="38" t="s">
        <v>1091</v>
      </c>
      <c r="J151" s="32" t="s">
        <v>1043</v>
      </c>
      <c r="K151" s="150"/>
      <c r="L151" s="150"/>
      <c r="M151" s="150"/>
      <c r="N151" s="150"/>
      <c r="O151" s="150"/>
      <c r="P151" s="38" t="s">
        <v>1116</v>
      </c>
    </row>
    <row r="152" spans="1:23" ht="25.5" customHeight="1">
      <c r="A152" s="118" t="s">
        <v>234</v>
      </c>
      <c r="B152" s="119" t="s">
        <v>233</v>
      </c>
      <c r="C152" s="32">
        <v>1</v>
      </c>
      <c r="D152" s="114" t="s">
        <v>798</v>
      </c>
      <c r="E152" s="114" t="s">
        <v>799</v>
      </c>
      <c r="F152" s="119" t="s">
        <v>54</v>
      </c>
      <c r="G152" s="32">
        <v>74</v>
      </c>
      <c r="H152" s="89">
        <v>1380</v>
      </c>
      <c r="I152" s="38" t="s">
        <v>1091</v>
      </c>
      <c r="J152" s="32" t="s">
        <v>1043</v>
      </c>
      <c r="K152" s="116"/>
      <c r="L152" s="116"/>
      <c r="M152" s="116"/>
      <c r="N152" s="116"/>
      <c r="O152" s="116"/>
      <c r="P152" s="38" t="s">
        <v>1116</v>
      </c>
    </row>
    <row r="153" spans="1:23" ht="25.5" customHeight="1">
      <c r="A153" s="118" t="s">
        <v>235</v>
      </c>
      <c r="B153" s="119" t="s">
        <v>233</v>
      </c>
      <c r="C153" s="32">
        <v>1</v>
      </c>
      <c r="D153" s="114" t="s">
        <v>798</v>
      </c>
      <c r="E153" s="114" t="s">
        <v>799</v>
      </c>
      <c r="F153" s="119" t="s">
        <v>54</v>
      </c>
      <c r="G153" s="32">
        <v>74</v>
      </c>
      <c r="H153" s="89">
        <v>1380</v>
      </c>
      <c r="I153" s="38" t="s">
        <v>1091</v>
      </c>
      <c r="J153" s="32" t="s">
        <v>1043</v>
      </c>
      <c r="K153" s="116"/>
      <c r="L153" s="116"/>
      <c r="M153" s="116"/>
      <c r="N153" s="116"/>
      <c r="O153" s="116"/>
      <c r="P153" s="38" t="s">
        <v>1116</v>
      </c>
    </row>
    <row r="154" spans="1:23" ht="25.5" customHeight="1">
      <c r="A154" s="118" t="s">
        <v>250</v>
      </c>
      <c r="B154" s="119" t="s">
        <v>233</v>
      </c>
      <c r="C154" s="32">
        <v>1</v>
      </c>
      <c r="D154" s="114" t="s">
        <v>798</v>
      </c>
      <c r="E154" s="114" t="s">
        <v>799</v>
      </c>
      <c r="F154" s="119" t="s">
        <v>54</v>
      </c>
      <c r="G154" s="32">
        <v>74</v>
      </c>
      <c r="H154" s="89">
        <v>1380</v>
      </c>
      <c r="I154" s="38" t="s">
        <v>1091</v>
      </c>
      <c r="J154" s="32" t="s">
        <v>1043</v>
      </c>
      <c r="K154" s="116"/>
      <c r="L154" s="116"/>
      <c r="M154" s="116"/>
      <c r="N154" s="116"/>
      <c r="O154" s="116"/>
      <c r="P154" s="38" t="s">
        <v>1116</v>
      </c>
    </row>
    <row r="155" spans="1:23" ht="25.5" customHeight="1">
      <c r="A155" s="118" t="s">
        <v>251</v>
      </c>
      <c r="B155" s="119" t="s">
        <v>233</v>
      </c>
      <c r="C155" s="32">
        <v>1</v>
      </c>
      <c r="D155" s="114" t="s">
        <v>798</v>
      </c>
      <c r="E155" s="114" t="s">
        <v>799</v>
      </c>
      <c r="F155" s="119" t="s">
        <v>54</v>
      </c>
      <c r="G155" s="32">
        <v>74</v>
      </c>
      <c r="H155" s="89">
        <v>1380</v>
      </c>
      <c r="I155" s="38" t="s">
        <v>1091</v>
      </c>
      <c r="J155" s="32" t="s">
        <v>1043</v>
      </c>
      <c r="K155" s="116"/>
      <c r="L155" s="116"/>
      <c r="M155" s="116"/>
      <c r="N155" s="116"/>
      <c r="O155" s="116"/>
      <c r="P155" s="38" t="s">
        <v>1116</v>
      </c>
    </row>
    <row r="156" spans="1:23" ht="21.75" customHeight="1">
      <c r="A156" s="118" t="s">
        <v>252</v>
      </c>
      <c r="B156" s="119" t="s">
        <v>233</v>
      </c>
      <c r="C156" s="32">
        <v>1</v>
      </c>
      <c r="D156" s="114" t="s">
        <v>798</v>
      </c>
      <c r="E156" s="114" t="s">
        <v>799</v>
      </c>
      <c r="F156" s="119" t="s">
        <v>184</v>
      </c>
      <c r="G156" s="32">
        <v>74</v>
      </c>
      <c r="H156" s="89">
        <v>1380</v>
      </c>
      <c r="I156" s="38" t="s">
        <v>1066</v>
      </c>
      <c r="J156" s="32" t="s">
        <v>1043</v>
      </c>
      <c r="K156" s="116"/>
      <c r="L156" s="116"/>
      <c r="M156" s="116"/>
      <c r="N156" s="116"/>
      <c r="O156" s="116"/>
      <c r="P156" s="33" t="s">
        <v>1117</v>
      </c>
    </row>
    <row r="157" spans="1:23" s="1" customFormat="1" ht="25.5" customHeight="1">
      <c r="A157" s="118" t="s">
        <v>236</v>
      </c>
      <c r="B157" s="119" t="s">
        <v>233</v>
      </c>
      <c r="C157" s="32">
        <v>1</v>
      </c>
      <c r="D157" s="114" t="s">
        <v>798</v>
      </c>
      <c r="E157" s="114" t="s">
        <v>799</v>
      </c>
      <c r="F157" s="119" t="s">
        <v>184</v>
      </c>
      <c r="G157" s="32">
        <v>74</v>
      </c>
      <c r="H157" s="89">
        <v>1380</v>
      </c>
      <c r="I157" s="38" t="s">
        <v>1066</v>
      </c>
      <c r="J157" s="32" t="s">
        <v>1043</v>
      </c>
      <c r="K157" s="150"/>
      <c r="L157" s="150"/>
      <c r="M157" s="150"/>
      <c r="N157" s="150"/>
      <c r="O157" s="150"/>
      <c r="P157" s="33" t="s">
        <v>1117</v>
      </c>
    </row>
    <row r="158" spans="1:23" s="1" customFormat="1" ht="25.5" customHeight="1">
      <c r="A158" s="118" t="s">
        <v>241</v>
      </c>
      <c r="B158" s="119" t="s">
        <v>233</v>
      </c>
      <c r="C158" s="32">
        <v>1</v>
      </c>
      <c r="D158" s="114" t="s">
        <v>798</v>
      </c>
      <c r="E158" s="114" t="s">
        <v>799</v>
      </c>
      <c r="F158" s="119" t="s">
        <v>184</v>
      </c>
      <c r="G158" s="32">
        <v>74</v>
      </c>
      <c r="H158" s="89">
        <v>1380</v>
      </c>
      <c r="I158" s="38" t="s">
        <v>1066</v>
      </c>
      <c r="J158" s="32" t="s">
        <v>1043</v>
      </c>
      <c r="K158" s="150"/>
      <c r="L158" s="115"/>
      <c r="M158" s="114"/>
      <c r="N158" s="114"/>
      <c r="O158" s="114"/>
      <c r="P158" s="33" t="s">
        <v>1117</v>
      </c>
      <c r="Q158" s="113"/>
      <c r="R158" s="112"/>
      <c r="S158" s="7"/>
      <c r="T158" s="7"/>
      <c r="U158" s="7"/>
      <c r="V158" s="7"/>
      <c r="W158" s="7"/>
    </row>
    <row r="159" spans="1:23" s="1" customFormat="1" ht="26.25" customHeight="1">
      <c r="A159" s="118" t="s">
        <v>242</v>
      </c>
      <c r="B159" s="119" t="s">
        <v>233</v>
      </c>
      <c r="C159" s="32">
        <v>1</v>
      </c>
      <c r="D159" s="114" t="s">
        <v>798</v>
      </c>
      <c r="E159" s="114" t="s">
        <v>799</v>
      </c>
      <c r="F159" s="119" t="s">
        <v>184</v>
      </c>
      <c r="G159" s="32">
        <v>74</v>
      </c>
      <c r="H159" s="89">
        <v>1380</v>
      </c>
      <c r="I159" s="38" t="s">
        <v>1066</v>
      </c>
      <c r="J159" s="32" t="s">
        <v>1043</v>
      </c>
      <c r="K159" s="150"/>
      <c r="L159" s="115"/>
      <c r="M159" s="114"/>
      <c r="N159" s="114"/>
      <c r="O159" s="114"/>
      <c r="P159" s="33" t="s">
        <v>1117</v>
      </c>
      <c r="Q159" s="113"/>
      <c r="R159" s="112"/>
      <c r="S159" s="7"/>
      <c r="T159" s="7"/>
      <c r="U159" s="7"/>
      <c r="V159" s="7"/>
      <c r="W159" s="7"/>
    </row>
    <row r="160" spans="1:23" s="1" customFormat="1" ht="23.25" customHeight="1">
      <c r="A160" s="118" t="s">
        <v>243</v>
      </c>
      <c r="B160" s="119" t="s">
        <v>233</v>
      </c>
      <c r="C160" s="32">
        <v>1</v>
      </c>
      <c r="D160" s="114" t="s">
        <v>798</v>
      </c>
      <c r="E160" s="114" t="s">
        <v>799</v>
      </c>
      <c r="F160" s="119" t="s">
        <v>184</v>
      </c>
      <c r="G160" s="32">
        <v>74</v>
      </c>
      <c r="H160" s="89">
        <v>1380</v>
      </c>
      <c r="I160" s="38" t="s">
        <v>1066</v>
      </c>
      <c r="J160" s="32" t="s">
        <v>1043</v>
      </c>
      <c r="K160" s="150"/>
      <c r="L160" s="115"/>
      <c r="M160" s="114"/>
      <c r="N160" s="114"/>
      <c r="O160" s="114"/>
      <c r="P160" s="33" t="s">
        <v>1117</v>
      </c>
      <c r="Q160" s="113"/>
      <c r="R160" s="112"/>
      <c r="S160" s="7"/>
      <c r="T160" s="7"/>
      <c r="U160" s="7"/>
      <c r="V160" s="7"/>
      <c r="W160" s="7"/>
    </row>
    <row r="161" spans="1:255" s="1" customFormat="1" ht="22.5" customHeight="1">
      <c r="A161" s="118" t="s">
        <v>244</v>
      </c>
      <c r="B161" s="119" t="s">
        <v>233</v>
      </c>
      <c r="C161" s="32">
        <v>1</v>
      </c>
      <c r="D161" s="114" t="s">
        <v>798</v>
      </c>
      <c r="E161" s="114" t="s">
        <v>799</v>
      </c>
      <c r="F161" s="119" t="s">
        <v>54</v>
      </c>
      <c r="G161" s="32">
        <v>74</v>
      </c>
      <c r="H161" s="89">
        <v>1380</v>
      </c>
      <c r="I161" s="38" t="s">
        <v>1091</v>
      </c>
      <c r="J161" s="32" t="s">
        <v>1043</v>
      </c>
      <c r="K161" s="150"/>
      <c r="L161" s="115"/>
      <c r="M161" s="114"/>
      <c r="N161" s="114"/>
      <c r="O161" s="114"/>
      <c r="P161" s="38" t="s">
        <v>1116</v>
      </c>
      <c r="Q161" s="113"/>
      <c r="R161" s="112"/>
      <c r="S161" s="7"/>
      <c r="T161" s="7"/>
      <c r="U161" s="7"/>
      <c r="V161" s="7"/>
      <c r="W161" s="7"/>
    </row>
    <row r="162" spans="1:255" s="1" customFormat="1" ht="25.5" customHeight="1">
      <c r="A162" s="118" t="s">
        <v>245</v>
      </c>
      <c r="B162" s="119" t="s">
        <v>233</v>
      </c>
      <c r="C162" s="32">
        <v>1</v>
      </c>
      <c r="D162" s="114" t="s">
        <v>798</v>
      </c>
      <c r="E162" s="114" t="s">
        <v>799</v>
      </c>
      <c r="F162" s="119" t="s">
        <v>54</v>
      </c>
      <c r="G162" s="32">
        <v>74</v>
      </c>
      <c r="H162" s="89">
        <v>1380</v>
      </c>
      <c r="I162" s="38" t="s">
        <v>325</v>
      </c>
      <c r="J162" s="32" t="s">
        <v>1043</v>
      </c>
      <c r="K162" s="150"/>
      <c r="L162" s="115"/>
      <c r="M162" s="114"/>
      <c r="N162" s="114"/>
      <c r="O162" s="114"/>
      <c r="P162" s="38" t="s">
        <v>1116</v>
      </c>
      <c r="Q162" s="113"/>
      <c r="R162" s="112"/>
      <c r="S162" s="7"/>
      <c r="T162" s="7"/>
      <c r="U162" s="7"/>
      <c r="V162" s="7"/>
      <c r="W162" s="7"/>
    </row>
    <row r="163" spans="1:255" ht="26.25" customHeight="1">
      <c r="A163" s="118" t="s">
        <v>231</v>
      </c>
      <c r="B163" s="119" t="s">
        <v>233</v>
      </c>
      <c r="C163" s="32">
        <v>1</v>
      </c>
      <c r="D163" s="114" t="s">
        <v>798</v>
      </c>
      <c r="E163" s="114" t="s">
        <v>799</v>
      </c>
      <c r="F163" s="119" t="s">
        <v>54</v>
      </c>
      <c r="G163" s="32">
        <v>74</v>
      </c>
      <c r="H163" s="89">
        <v>1380</v>
      </c>
      <c r="I163" s="38" t="s">
        <v>325</v>
      </c>
      <c r="J163" s="32" t="s">
        <v>1043</v>
      </c>
      <c r="K163" s="150"/>
      <c r="L163" s="115"/>
      <c r="M163" s="114"/>
      <c r="N163" s="114"/>
      <c r="O163" s="114"/>
      <c r="P163" s="38" t="s">
        <v>1116</v>
      </c>
      <c r="Q163" s="113"/>
      <c r="R163" s="112"/>
      <c r="S163" s="7"/>
      <c r="T163" s="7"/>
      <c r="U163" s="7"/>
      <c r="V163" s="7"/>
      <c r="W163" s="7"/>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row>
    <row r="164" spans="1:255" ht="25.5" customHeight="1">
      <c r="A164" s="118" t="s">
        <v>800</v>
      </c>
      <c r="B164" s="119" t="s">
        <v>233</v>
      </c>
      <c r="C164" s="32">
        <v>1</v>
      </c>
      <c r="D164" s="114" t="s">
        <v>798</v>
      </c>
      <c r="E164" s="114" t="s">
        <v>799</v>
      </c>
      <c r="F164" s="119" t="s">
        <v>54</v>
      </c>
      <c r="G164" s="32">
        <v>74</v>
      </c>
      <c r="H164" s="89">
        <v>1380</v>
      </c>
      <c r="I164" s="38" t="s">
        <v>1091</v>
      </c>
      <c r="J164" s="32" t="s">
        <v>1043</v>
      </c>
      <c r="K164" s="116"/>
      <c r="L164" s="116"/>
      <c r="M164" s="116"/>
      <c r="N164" s="116"/>
      <c r="O164" s="116"/>
      <c r="P164" s="38" t="s">
        <v>1116</v>
      </c>
    </row>
    <row r="165" spans="1:255" ht="26.25" customHeight="1">
      <c r="A165" s="118" t="s">
        <v>253</v>
      </c>
      <c r="B165" s="119" t="s">
        <v>233</v>
      </c>
      <c r="C165" s="32">
        <v>1</v>
      </c>
      <c r="D165" s="114" t="s">
        <v>798</v>
      </c>
      <c r="E165" s="114" t="s">
        <v>799</v>
      </c>
      <c r="F165" s="119" t="s">
        <v>184</v>
      </c>
      <c r="G165" s="32">
        <v>74</v>
      </c>
      <c r="H165" s="89">
        <v>1380</v>
      </c>
      <c r="I165" s="38" t="s">
        <v>801</v>
      </c>
      <c r="J165" s="32" t="s">
        <v>1043</v>
      </c>
      <c r="K165" s="116"/>
      <c r="L165" s="116"/>
      <c r="M165" s="116"/>
      <c r="N165" s="116"/>
      <c r="O165" s="116"/>
      <c r="P165" s="33" t="s">
        <v>1117</v>
      </c>
    </row>
    <row r="166" spans="1:255" ht="24" customHeight="1">
      <c r="A166" s="118" t="s">
        <v>254</v>
      </c>
      <c r="B166" s="119" t="s">
        <v>233</v>
      </c>
      <c r="C166" s="32">
        <v>1</v>
      </c>
      <c r="D166" s="114" t="s">
        <v>798</v>
      </c>
      <c r="E166" s="114" t="s">
        <v>799</v>
      </c>
      <c r="F166" s="119" t="s">
        <v>184</v>
      </c>
      <c r="G166" s="32">
        <v>74</v>
      </c>
      <c r="H166" s="89">
        <v>1380</v>
      </c>
      <c r="I166" s="38" t="s">
        <v>1066</v>
      </c>
      <c r="J166" s="32" t="s">
        <v>1043</v>
      </c>
      <c r="K166" s="116"/>
      <c r="L166" s="116"/>
      <c r="M166" s="116"/>
      <c r="N166" s="116"/>
      <c r="O166" s="116"/>
      <c r="P166" s="33" t="s">
        <v>1117</v>
      </c>
    </row>
    <row r="167" spans="1:255" s="1" customFormat="1" ht="23.25" customHeight="1">
      <c r="A167" s="118" t="s">
        <v>255</v>
      </c>
      <c r="B167" s="119" t="s">
        <v>233</v>
      </c>
      <c r="C167" s="32">
        <v>1</v>
      </c>
      <c r="D167" s="114" t="s">
        <v>798</v>
      </c>
      <c r="E167" s="114" t="s">
        <v>799</v>
      </c>
      <c r="F167" s="119" t="s">
        <v>184</v>
      </c>
      <c r="G167" s="32">
        <v>74</v>
      </c>
      <c r="H167" s="89">
        <v>1380</v>
      </c>
      <c r="I167" s="38" t="s">
        <v>801</v>
      </c>
      <c r="J167" s="32" t="s">
        <v>1043</v>
      </c>
      <c r="K167" s="150"/>
      <c r="L167" s="150"/>
      <c r="M167" s="150"/>
      <c r="N167" s="150"/>
      <c r="O167" s="150"/>
      <c r="P167" s="33" t="s">
        <v>1117</v>
      </c>
    </row>
    <row r="168" spans="1:255" s="1" customFormat="1" ht="25.5" customHeight="1">
      <c r="A168" s="118" t="s">
        <v>256</v>
      </c>
      <c r="B168" s="119" t="s">
        <v>233</v>
      </c>
      <c r="C168" s="32">
        <v>1</v>
      </c>
      <c r="D168" s="114" t="s">
        <v>798</v>
      </c>
      <c r="E168" s="114" t="s">
        <v>799</v>
      </c>
      <c r="F168" s="119" t="s">
        <v>184</v>
      </c>
      <c r="G168" s="32">
        <v>74</v>
      </c>
      <c r="H168" s="89">
        <v>1380</v>
      </c>
      <c r="I168" s="38" t="s">
        <v>801</v>
      </c>
      <c r="J168" s="32" t="s">
        <v>1043</v>
      </c>
      <c r="K168" s="150"/>
      <c r="L168" s="150"/>
      <c r="M168" s="150"/>
      <c r="N168" s="150"/>
      <c r="O168" s="150"/>
      <c r="P168" s="33" t="s">
        <v>1117</v>
      </c>
    </row>
    <row r="169" spans="1:255" ht="27.75" customHeight="1">
      <c r="A169" s="118" t="s">
        <v>257</v>
      </c>
      <c r="B169" s="119" t="s">
        <v>233</v>
      </c>
      <c r="C169" s="32">
        <v>1</v>
      </c>
      <c r="D169" s="114" t="s">
        <v>798</v>
      </c>
      <c r="E169" s="114" t="s">
        <v>799</v>
      </c>
      <c r="F169" s="119" t="s">
        <v>184</v>
      </c>
      <c r="G169" s="32">
        <v>74</v>
      </c>
      <c r="H169" s="89">
        <v>1380</v>
      </c>
      <c r="I169" s="38" t="s">
        <v>1067</v>
      </c>
      <c r="J169" s="32" t="s">
        <v>1043</v>
      </c>
      <c r="K169" s="116"/>
      <c r="L169" s="116"/>
      <c r="M169" s="116"/>
      <c r="N169" s="116"/>
      <c r="O169" s="116"/>
      <c r="P169" s="33" t="s">
        <v>1117</v>
      </c>
    </row>
    <row r="170" spans="1:255" ht="11.25">
      <c r="A170" s="116"/>
      <c r="B170" s="116"/>
      <c r="C170" s="116"/>
      <c r="D170" s="116"/>
      <c r="E170" s="116"/>
      <c r="F170" s="116"/>
      <c r="G170" s="116"/>
      <c r="H170" s="162">
        <f>SUM(H145:H169)</f>
        <v>34500</v>
      </c>
      <c r="I170" s="116"/>
      <c r="J170" s="161"/>
      <c r="K170" s="116"/>
      <c r="L170" s="116"/>
      <c r="M170" s="116"/>
      <c r="N170" s="116"/>
      <c r="O170" s="116"/>
      <c r="P170" s="116"/>
    </row>
    <row r="171" spans="1:255" ht="11.25">
      <c r="A171" s="116"/>
      <c r="B171" s="116"/>
      <c r="C171" s="116"/>
      <c r="D171" s="116"/>
      <c r="E171" s="116"/>
      <c r="F171" s="116"/>
      <c r="G171" s="116"/>
      <c r="H171" s="162"/>
      <c r="I171" s="116"/>
      <c r="J171" s="161"/>
      <c r="K171" s="116"/>
      <c r="L171" s="116"/>
      <c r="M171" s="116"/>
      <c r="N171" s="116"/>
      <c r="O171" s="116"/>
      <c r="P171" s="116"/>
    </row>
    <row r="172" spans="1:255" s="1" customFormat="1" ht="11.25" customHeight="1">
      <c r="A172" s="194" t="s">
        <v>17</v>
      </c>
      <c r="B172" s="194" t="s">
        <v>19</v>
      </c>
      <c r="C172" s="194" t="s">
        <v>20</v>
      </c>
      <c r="D172" s="194" t="s">
        <v>115</v>
      </c>
      <c r="E172" s="194" t="s">
        <v>1121</v>
      </c>
      <c r="F172" s="194" t="s">
        <v>23</v>
      </c>
      <c r="G172" s="194" t="s">
        <v>24</v>
      </c>
      <c r="H172" s="195" t="s">
        <v>25</v>
      </c>
      <c r="I172" s="195" t="s">
        <v>18</v>
      </c>
      <c r="J172" s="203" t="s">
        <v>470</v>
      </c>
      <c r="K172" s="167"/>
      <c r="L172" s="167"/>
      <c r="M172" s="167"/>
      <c r="N172" s="167"/>
      <c r="O172" s="167"/>
      <c r="P172" s="203" t="s">
        <v>1115</v>
      </c>
      <c r="Q172" s="7"/>
    </row>
    <row r="173" spans="1:255" s="1" customFormat="1" ht="15" customHeight="1">
      <c r="A173" s="194"/>
      <c r="B173" s="194"/>
      <c r="C173" s="194"/>
      <c r="D173" s="194"/>
      <c r="E173" s="194"/>
      <c r="F173" s="194"/>
      <c r="G173" s="194"/>
      <c r="H173" s="195"/>
      <c r="I173" s="195"/>
      <c r="J173" s="203"/>
      <c r="K173" s="167"/>
      <c r="L173" s="167"/>
      <c r="M173" s="167"/>
      <c r="N173" s="167"/>
      <c r="O173" s="167"/>
      <c r="P173" s="203"/>
    </row>
    <row r="174" spans="1:255" ht="33.75" customHeight="1">
      <c r="A174" s="118" t="s">
        <v>106</v>
      </c>
      <c r="B174" s="119" t="s">
        <v>107</v>
      </c>
      <c r="C174" s="32">
        <v>1</v>
      </c>
      <c r="D174" s="114" t="s">
        <v>802</v>
      </c>
      <c r="E174" s="114" t="s">
        <v>803</v>
      </c>
      <c r="F174" s="119" t="s">
        <v>54</v>
      </c>
      <c r="G174" s="32">
        <v>1133</v>
      </c>
      <c r="H174" s="89">
        <v>1520</v>
      </c>
      <c r="I174" s="38" t="s">
        <v>1066</v>
      </c>
      <c r="J174" s="32" t="s">
        <v>1043</v>
      </c>
      <c r="K174" s="116"/>
      <c r="L174" s="116"/>
      <c r="M174" s="116"/>
      <c r="N174" s="116"/>
      <c r="O174" s="116"/>
      <c r="P174" s="33" t="s">
        <v>1117</v>
      </c>
    </row>
    <row r="175" spans="1:255" ht="37.5" customHeight="1">
      <c r="A175" s="118" t="s">
        <v>108</v>
      </c>
      <c r="B175" s="119" t="s">
        <v>107</v>
      </c>
      <c r="C175" s="32">
        <v>1</v>
      </c>
      <c r="D175" s="114" t="s">
        <v>802</v>
      </c>
      <c r="E175" s="114" t="s">
        <v>803</v>
      </c>
      <c r="F175" s="119" t="s">
        <v>54</v>
      </c>
      <c r="G175" s="32">
        <v>1133</v>
      </c>
      <c r="H175" s="89">
        <v>1520</v>
      </c>
      <c r="I175" s="38" t="s">
        <v>325</v>
      </c>
      <c r="J175" s="32" t="s">
        <v>1043</v>
      </c>
      <c r="K175" s="116"/>
      <c r="L175" s="116"/>
      <c r="M175" s="116"/>
      <c r="N175" s="116"/>
      <c r="O175" s="116"/>
      <c r="P175" s="38" t="s">
        <v>1118</v>
      </c>
      <c r="Q175" s="12"/>
    </row>
    <row r="176" spans="1:255" ht="33.75">
      <c r="A176" s="118" t="s">
        <v>109</v>
      </c>
      <c r="B176" s="119" t="s">
        <v>107</v>
      </c>
      <c r="C176" s="32">
        <v>1</v>
      </c>
      <c r="D176" s="114" t="s">
        <v>802</v>
      </c>
      <c r="E176" s="114" t="s">
        <v>803</v>
      </c>
      <c r="F176" s="119" t="s">
        <v>54</v>
      </c>
      <c r="G176" s="32">
        <v>1133</v>
      </c>
      <c r="H176" s="89">
        <v>1520</v>
      </c>
      <c r="I176" s="38" t="s">
        <v>912</v>
      </c>
      <c r="J176" s="32" t="s">
        <v>1043</v>
      </c>
      <c r="K176" s="116"/>
      <c r="L176" s="116"/>
      <c r="M176" s="116"/>
      <c r="N176" s="116"/>
      <c r="O176" s="116"/>
      <c r="P176" s="38" t="s">
        <v>1116</v>
      </c>
    </row>
    <row r="177" spans="1:17" ht="33.75">
      <c r="A177" s="118" t="s">
        <v>110</v>
      </c>
      <c r="B177" s="119" t="s">
        <v>111</v>
      </c>
      <c r="C177" s="32">
        <v>1</v>
      </c>
      <c r="D177" s="114" t="s">
        <v>802</v>
      </c>
      <c r="E177" s="114" t="s">
        <v>37</v>
      </c>
      <c r="F177" s="119" t="s">
        <v>54</v>
      </c>
      <c r="G177" s="32">
        <v>1133</v>
      </c>
      <c r="H177" s="89">
        <v>210</v>
      </c>
      <c r="I177" s="38" t="s">
        <v>1066</v>
      </c>
      <c r="J177" s="32" t="s">
        <v>1043</v>
      </c>
      <c r="K177" s="116"/>
      <c r="L177" s="116"/>
      <c r="M177" s="116"/>
      <c r="N177" s="116"/>
      <c r="O177" s="116"/>
      <c r="P177" s="33" t="s">
        <v>1117</v>
      </c>
    </row>
    <row r="178" spans="1:17" s="1" customFormat="1" ht="33.75">
      <c r="A178" s="118" t="s">
        <v>112</v>
      </c>
      <c r="B178" s="119" t="s">
        <v>111</v>
      </c>
      <c r="C178" s="32">
        <v>1</v>
      </c>
      <c r="D178" s="114" t="s">
        <v>802</v>
      </c>
      <c r="E178" s="114" t="s">
        <v>37</v>
      </c>
      <c r="F178" s="119" t="s">
        <v>54</v>
      </c>
      <c r="G178" s="32">
        <v>1133</v>
      </c>
      <c r="H178" s="89">
        <v>210</v>
      </c>
      <c r="I178" s="38" t="s">
        <v>1066</v>
      </c>
      <c r="J178" s="32" t="s">
        <v>1043</v>
      </c>
      <c r="K178" s="150"/>
      <c r="L178" s="150"/>
      <c r="M178" s="150"/>
      <c r="N178" s="150"/>
      <c r="O178" s="150"/>
      <c r="P178" s="33" t="s">
        <v>1117</v>
      </c>
    </row>
    <row r="179" spans="1:17" s="1" customFormat="1" ht="33.75">
      <c r="A179" s="118" t="s">
        <v>113</v>
      </c>
      <c r="B179" s="119" t="s">
        <v>111</v>
      </c>
      <c r="C179" s="32">
        <v>1</v>
      </c>
      <c r="D179" s="114" t="s">
        <v>802</v>
      </c>
      <c r="E179" s="114" t="s">
        <v>37</v>
      </c>
      <c r="F179" s="119" t="s">
        <v>54</v>
      </c>
      <c r="G179" s="32">
        <v>1133</v>
      </c>
      <c r="H179" s="89">
        <v>210</v>
      </c>
      <c r="I179" s="38" t="s">
        <v>1066</v>
      </c>
      <c r="J179" s="32" t="s">
        <v>1043</v>
      </c>
      <c r="K179" s="150"/>
      <c r="L179" s="150"/>
      <c r="M179" s="150"/>
      <c r="N179" s="150"/>
      <c r="O179" s="150"/>
      <c r="P179" s="33" t="s">
        <v>1117</v>
      </c>
    </row>
    <row r="180" spans="1:17" ht="12">
      <c r="A180" s="118"/>
      <c r="B180" s="119"/>
      <c r="C180" s="32"/>
      <c r="D180" s="114"/>
      <c r="E180" s="114"/>
      <c r="F180" s="119"/>
      <c r="G180" s="32"/>
      <c r="H180" s="165">
        <f>SUM(H174:H179)</f>
        <v>5190</v>
      </c>
      <c r="I180" s="38"/>
      <c r="J180" s="32"/>
      <c r="K180" s="116"/>
      <c r="L180" s="116"/>
      <c r="M180" s="116"/>
      <c r="N180" s="116"/>
      <c r="O180" s="116"/>
      <c r="P180" s="116"/>
    </row>
    <row r="181" spans="1:17" s="1" customFormat="1" ht="11.25" customHeight="1">
      <c r="A181" s="194" t="s">
        <v>17</v>
      </c>
      <c r="B181" s="194" t="s">
        <v>19</v>
      </c>
      <c r="C181" s="194" t="s">
        <v>20</v>
      </c>
      <c r="D181" s="194" t="s">
        <v>115</v>
      </c>
      <c r="E181" s="194" t="s">
        <v>1121</v>
      </c>
      <c r="F181" s="194" t="s">
        <v>23</v>
      </c>
      <c r="G181" s="194" t="s">
        <v>24</v>
      </c>
      <c r="H181" s="195" t="s">
        <v>25</v>
      </c>
      <c r="I181" s="195" t="s">
        <v>18</v>
      </c>
      <c r="J181" s="203" t="s">
        <v>470</v>
      </c>
      <c r="K181" s="167"/>
      <c r="L181" s="167"/>
      <c r="M181" s="167"/>
      <c r="N181" s="167"/>
      <c r="O181" s="167"/>
      <c r="P181" s="203" t="s">
        <v>1115</v>
      </c>
      <c r="Q181" s="7"/>
    </row>
    <row r="182" spans="1:17" s="1" customFormat="1" ht="15" customHeight="1">
      <c r="A182" s="194"/>
      <c r="B182" s="194"/>
      <c r="C182" s="194"/>
      <c r="D182" s="194"/>
      <c r="E182" s="194"/>
      <c r="F182" s="194"/>
      <c r="G182" s="194"/>
      <c r="H182" s="195"/>
      <c r="I182" s="195"/>
      <c r="J182" s="203"/>
      <c r="K182" s="167"/>
      <c r="L182" s="167"/>
      <c r="M182" s="167"/>
      <c r="N182" s="167"/>
      <c r="O182" s="167"/>
      <c r="P182" s="203"/>
    </row>
    <row r="183" spans="1:17" s="1" customFormat="1" ht="26.25" customHeight="1">
      <c r="A183" s="118" t="s">
        <v>277</v>
      </c>
      <c r="B183" s="119" t="s">
        <v>278</v>
      </c>
      <c r="C183" s="32">
        <v>1</v>
      </c>
      <c r="D183" s="114" t="s">
        <v>804</v>
      </c>
      <c r="E183" s="114" t="s">
        <v>37</v>
      </c>
      <c r="F183" s="119" t="s">
        <v>54</v>
      </c>
      <c r="G183" s="32" t="s">
        <v>805</v>
      </c>
      <c r="H183" s="89">
        <v>130</v>
      </c>
      <c r="I183" s="38" t="s">
        <v>1094</v>
      </c>
      <c r="J183" s="32" t="s">
        <v>1043</v>
      </c>
      <c r="K183" s="150"/>
      <c r="L183" s="150"/>
      <c r="M183" s="150"/>
      <c r="N183" s="150"/>
      <c r="O183" s="150"/>
      <c r="P183" s="38" t="s">
        <v>1116</v>
      </c>
    </row>
    <row r="184" spans="1:17" s="1" customFormat="1" ht="36" customHeight="1">
      <c r="A184" s="118" t="s">
        <v>279</v>
      </c>
      <c r="B184" s="119" t="s">
        <v>278</v>
      </c>
      <c r="C184" s="32">
        <v>1</v>
      </c>
      <c r="D184" s="114" t="s">
        <v>804</v>
      </c>
      <c r="E184" s="114" t="s">
        <v>37</v>
      </c>
      <c r="F184" s="119" t="s">
        <v>54</v>
      </c>
      <c r="G184" s="32" t="s">
        <v>805</v>
      </c>
      <c r="H184" s="89">
        <v>130</v>
      </c>
      <c r="I184" s="38" t="s">
        <v>1094</v>
      </c>
      <c r="J184" s="32" t="s">
        <v>1043</v>
      </c>
      <c r="K184" s="150"/>
      <c r="L184" s="150"/>
      <c r="M184" s="150"/>
      <c r="N184" s="150"/>
      <c r="O184" s="150"/>
      <c r="P184" s="38" t="s">
        <v>1116</v>
      </c>
    </row>
    <row r="185" spans="1:17" s="100" customFormat="1" ht="12.75">
      <c r="A185" s="116"/>
      <c r="B185" s="116"/>
      <c r="C185" s="116"/>
      <c r="D185" s="116"/>
      <c r="E185" s="116"/>
      <c r="F185" s="116"/>
      <c r="G185" s="116"/>
      <c r="H185" s="162">
        <f>SUM(H183:H184)</f>
        <v>260</v>
      </c>
      <c r="I185" s="116"/>
      <c r="J185" s="161"/>
      <c r="K185" s="166"/>
      <c r="L185" s="166"/>
      <c r="M185" s="166"/>
      <c r="N185" s="166"/>
      <c r="O185" s="166"/>
      <c r="P185" s="166"/>
    </row>
    <row r="186" spans="1:17" ht="11.25">
      <c r="A186" s="116"/>
      <c r="B186" s="116"/>
      <c r="C186" s="116"/>
      <c r="D186" s="116"/>
      <c r="E186" s="116"/>
      <c r="F186" s="116"/>
      <c r="G186" s="116"/>
      <c r="H186" s="162"/>
      <c r="I186" s="116"/>
      <c r="J186" s="161"/>
      <c r="K186" s="116"/>
      <c r="L186" s="116"/>
      <c r="M186" s="116"/>
      <c r="N186" s="116"/>
      <c r="O186" s="116"/>
      <c r="P186" s="116"/>
    </row>
    <row r="187" spans="1:17" s="1" customFormat="1" ht="11.25" customHeight="1">
      <c r="A187" s="194" t="s">
        <v>17</v>
      </c>
      <c r="B187" s="194" t="s">
        <v>19</v>
      </c>
      <c r="C187" s="194" t="s">
        <v>20</v>
      </c>
      <c r="D187" s="194" t="s">
        <v>115</v>
      </c>
      <c r="E187" s="194" t="s">
        <v>1121</v>
      </c>
      <c r="F187" s="194" t="s">
        <v>23</v>
      </c>
      <c r="G187" s="194" t="s">
        <v>24</v>
      </c>
      <c r="H187" s="195" t="s">
        <v>25</v>
      </c>
      <c r="I187" s="195" t="s">
        <v>18</v>
      </c>
      <c r="J187" s="203" t="s">
        <v>470</v>
      </c>
      <c r="K187" s="167"/>
      <c r="L187" s="167"/>
      <c r="M187" s="167"/>
      <c r="N187" s="167"/>
      <c r="O187" s="167"/>
      <c r="P187" s="203" t="s">
        <v>1115</v>
      </c>
      <c r="Q187" s="7"/>
    </row>
    <row r="188" spans="1:17" s="1" customFormat="1" ht="15" customHeight="1">
      <c r="A188" s="194"/>
      <c r="B188" s="194"/>
      <c r="C188" s="194"/>
      <c r="D188" s="194"/>
      <c r="E188" s="194"/>
      <c r="F188" s="194"/>
      <c r="G188" s="194"/>
      <c r="H188" s="195"/>
      <c r="I188" s="195"/>
      <c r="J188" s="203"/>
      <c r="K188" s="167"/>
      <c r="L188" s="167"/>
      <c r="M188" s="167"/>
      <c r="N188" s="167"/>
      <c r="O188" s="167"/>
      <c r="P188" s="203"/>
    </row>
    <row r="189" spans="1:17" ht="30" customHeight="1">
      <c r="A189" s="118" t="s">
        <v>281</v>
      </c>
      <c r="B189" s="119" t="s">
        <v>283</v>
      </c>
      <c r="C189" s="32">
        <v>1</v>
      </c>
      <c r="D189" s="114" t="s">
        <v>816</v>
      </c>
      <c r="E189" s="114" t="s">
        <v>817</v>
      </c>
      <c r="F189" s="119" t="s">
        <v>54</v>
      </c>
      <c r="G189" s="32">
        <v>1602</v>
      </c>
      <c r="H189" s="89">
        <f>2160*1.15</f>
        <v>2484</v>
      </c>
      <c r="I189" s="38" t="s">
        <v>1093</v>
      </c>
      <c r="J189" s="32" t="s">
        <v>1043</v>
      </c>
      <c r="K189" s="116"/>
      <c r="L189" s="116"/>
      <c r="M189" s="116"/>
      <c r="N189" s="116"/>
      <c r="O189" s="116"/>
      <c r="P189" s="38" t="s">
        <v>1116</v>
      </c>
    </row>
    <row r="190" spans="1:17" ht="96.75" customHeight="1">
      <c r="A190" s="118" t="s">
        <v>280</v>
      </c>
      <c r="B190" s="119" t="s">
        <v>282</v>
      </c>
      <c r="C190" s="32">
        <v>1</v>
      </c>
      <c r="D190" s="114" t="s">
        <v>116</v>
      </c>
      <c r="E190" s="114" t="s">
        <v>817</v>
      </c>
      <c r="F190" s="119"/>
      <c r="G190" s="32">
        <v>1602</v>
      </c>
      <c r="H190" s="89">
        <f>22000*1.15</f>
        <v>25299.999999999996</v>
      </c>
      <c r="I190" s="38" t="s">
        <v>1106</v>
      </c>
      <c r="J190" s="32" t="s">
        <v>1043</v>
      </c>
      <c r="K190" s="116"/>
      <c r="L190" s="116"/>
      <c r="M190" s="116"/>
      <c r="N190" s="116"/>
      <c r="O190" s="116"/>
      <c r="P190" s="38" t="s">
        <v>1116</v>
      </c>
      <c r="Q190" s="12"/>
    </row>
    <row r="191" spans="1:17" ht="30" customHeight="1">
      <c r="A191" s="118" t="s">
        <v>779</v>
      </c>
      <c r="B191" s="119" t="s">
        <v>311</v>
      </c>
      <c r="C191" s="32">
        <v>10</v>
      </c>
      <c r="D191" s="114" t="s">
        <v>116</v>
      </c>
      <c r="E191" s="114" t="s">
        <v>310</v>
      </c>
      <c r="F191" s="119" t="s">
        <v>819</v>
      </c>
      <c r="G191" s="32">
        <v>1602</v>
      </c>
      <c r="H191" s="89">
        <f>330*1.15</f>
        <v>379.49999999999994</v>
      </c>
      <c r="I191" s="38" t="s">
        <v>820</v>
      </c>
      <c r="J191" s="32" t="s">
        <v>1043</v>
      </c>
      <c r="K191" s="116"/>
      <c r="L191" s="116"/>
      <c r="M191" s="116"/>
      <c r="N191" s="116"/>
      <c r="O191" s="116"/>
      <c r="P191" s="38" t="s">
        <v>1120</v>
      </c>
    </row>
    <row r="192" spans="1:17" ht="30" customHeight="1">
      <c r="A192" s="118" t="s">
        <v>287</v>
      </c>
      <c r="B192" s="119" t="s">
        <v>288</v>
      </c>
      <c r="C192" s="32">
        <v>1</v>
      </c>
      <c r="D192" s="114" t="s">
        <v>116</v>
      </c>
      <c r="E192" s="114" t="s">
        <v>289</v>
      </c>
      <c r="F192" s="119" t="s">
        <v>54</v>
      </c>
      <c r="G192" s="32">
        <v>1602</v>
      </c>
      <c r="H192" s="89">
        <v>159.85</v>
      </c>
      <c r="I192" s="38" t="s">
        <v>1106</v>
      </c>
      <c r="J192" s="32" t="s">
        <v>1043</v>
      </c>
      <c r="K192" s="116"/>
      <c r="L192" s="116"/>
      <c r="M192" s="116"/>
      <c r="N192" s="116"/>
      <c r="O192" s="116"/>
      <c r="P192" s="38" t="s">
        <v>1118</v>
      </c>
    </row>
    <row r="193" spans="1:16" ht="30" customHeight="1">
      <c r="A193" s="118" t="s">
        <v>290</v>
      </c>
      <c r="B193" s="119" t="s">
        <v>818</v>
      </c>
      <c r="C193" s="32">
        <v>1</v>
      </c>
      <c r="D193" s="114" t="s">
        <v>116</v>
      </c>
      <c r="E193" s="114" t="s">
        <v>289</v>
      </c>
      <c r="F193" s="119" t="s">
        <v>54</v>
      </c>
      <c r="G193" s="32">
        <v>1602</v>
      </c>
      <c r="H193" s="89">
        <v>159.85</v>
      </c>
      <c r="I193" s="38" t="s">
        <v>1106</v>
      </c>
      <c r="J193" s="32" t="s">
        <v>1043</v>
      </c>
      <c r="K193" s="116"/>
      <c r="L193" s="116"/>
      <c r="M193" s="116"/>
      <c r="N193" s="116"/>
      <c r="O193" s="116"/>
      <c r="P193" s="38" t="s">
        <v>1118</v>
      </c>
    </row>
    <row r="194" spans="1:16" ht="30" customHeight="1">
      <c r="A194" s="118" t="s">
        <v>291</v>
      </c>
      <c r="B194" s="119" t="s">
        <v>292</v>
      </c>
      <c r="C194" s="32">
        <v>1</v>
      </c>
      <c r="D194" s="114" t="s">
        <v>116</v>
      </c>
      <c r="E194" s="114" t="s">
        <v>289</v>
      </c>
      <c r="F194" s="119" t="s">
        <v>54</v>
      </c>
      <c r="G194" s="32">
        <v>1602</v>
      </c>
      <c r="H194" s="89">
        <v>159.85</v>
      </c>
      <c r="I194" s="38" t="s">
        <v>1106</v>
      </c>
      <c r="J194" s="32" t="s">
        <v>1043</v>
      </c>
      <c r="K194" s="116"/>
      <c r="L194" s="116"/>
      <c r="M194" s="116"/>
      <c r="N194" s="116"/>
      <c r="O194" s="116"/>
      <c r="P194" s="38" t="s">
        <v>1118</v>
      </c>
    </row>
    <row r="195" spans="1:16" ht="30" customHeight="1">
      <c r="A195" s="118" t="s">
        <v>293</v>
      </c>
      <c r="B195" s="119" t="s">
        <v>292</v>
      </c>
      <c r="C195" s="32">
        <v>1</v>
      </c>
      <c r="D195" s="114" t="s">
        <v>116</v>
      </c>
      <c r="E195" s="114" t="s">
        <v>289</v>
      </c>
      <c r="F195" s="119" t="s">
        <v>54</v>
      </c>
      <c r="G195" s="32">
        <v>1602</v>
      </c>
      <c r="H195" s="89">
        <v>159.85</v>
      </c>
      <c r="I195" s="38" t="s">
        <v>1106</v>
      </c>
      <c r="J195" s="32" t="s">
        <v>1043</v>
      </c>
      <c r="K195" s="116"/>
      <c r="L195" s="116"/>
      <c r="M195" s="116"/>
      <c r="N195" s="116"/>
      <c r="O195" s="116"/>
      <c r="P195" s="38" t="s">
        <v>1118</v>
      </c>
    </row>
    <row r="196" spans="1:16" ht="30" customHeight="1">
      <c r="A196" s="118" t="s">
        <v>294</v>
      </c>
      <c r="B196" s="119" t="s">
        <v>292</v>
      </c>
      <c r="C196" s="32">
        <v>1</v>
      </c>
      <c r="D196" s="114" t="s">
        <v>116</v>
      </c>
      <c r="E196" s="114" t="s">
        <v>289</v>
      </c>
      <c r="F196" s="119" t="s">
        <v>54</v>
      </c>
      <c r="G196" s="32">
        <v>1602</v>
      </c>
      <c r="H196" s="89">
        <v>159.85</v>
      </c>
      <c r="I196" s="38" t="s">
        <v>1106</v>
      </c>
      <c r="J196" s="32" t="s">
        <v>1043</v>
      </c>
      <c r="K196" s="116"/>
      <c r="L196" s="116"/>
      <c r="M196" s="116"/>
      <c r="N196" s="116"/>
      <c r="O196" s="116"/>
      <c r="P196" s="38" t="s">
        <v>1118</v>
      </c>
    </row>
    <row r="197" spans="1:16" ht="30" customHeight="1">
      <c r="A197" s="118" t="s">
        <v>295</v>
      </c>
      <c r="B197" s="119" t="s">
        <v>292</v>
      </c>
      <c r="C197" s="32">
        <v>1</v>
      </c>
      <c r="D197" s="114" t="s">
        <v>116</v>
      </c>
      <c r="E197" s="114" t="s">
        <v>289</v>
      </c>
      <c r="F197" s="119" t="s">
        <v>54</v>
      </c>
      <c r="G197" s="32">
        <v>1602</v>
      </c>
      <c r="H197" s="89">
        <v>159.85</v>
      </c>
      <c r="I197" s="38" t="s">
        <v>1106</v>
      </c>
      <c r="J197" s="32" t="s">
        <v>1043</v>
      </c>
      <c r="K197" s="116"/>
      <c r="L197" s="116"/>
      <c r="M197" s="116"/>
      <c r="N197" s="116"/>
      <c r="O197" s="116"/>
      <c r="P197" s="38" t="s">
        <v>1118</v>
      </c>
    </row>
    <row r="198" spans="1:16" ht="30" customHeight="1">
      <c r="A198" s="118" t="s">
        <v>296</v>
      </c>
      <c r="B198" s="119" t="s">
        <v>292</v>
      </c>
      <c r="C198" s="32">
        <v>1</v>
      </c>
      <c r="D198" s="114" t="s">
        <v>116</v>
      </c>
      <c r="E198" s="114" t="s">
        <v>289</v>
      </c>
      <c r="F198" s="119" t="s">
        <v>54</v>
      </c>
      <c r="G198" s="32">
        <v>1602</v>
      </c>
      <c r="H198" s="89">
        <v>159.85</v>
      </c>
      <c r="I198" s="38" t="s">
        <v>1106</v>
      </c>
      <c r="J198" s="32" t="s">
        <v>1043</v>
      </c>
      <c r="K198" s="116"/>
      <c r="L198" s="116"/>
      <c r="M198" s="116"/>
      <c r="N198" s="116"/>
      <c r="O198" s="116"/>
      <c r="P198" s="38" t="s">
        <v>1118</v>
      </c>
    </row>
    <row r="199" spans="1:16" ht="30" customHeight="1">
      <c r="A199" s="118" t="s">
        <v>297</v>
      </c>
      <c r="B199" s="119" t="s">
        <v>292</v>
      </c>
      <c r="C199" s="32">
        <v>1</v>
      </c>
      <c r="D199" s="114" t="s">
        <v>116</v>
      </c>
      <c r="E199" s="114" t="s">
        <v>289</v>
      </c>
      <c r="F199" s="119" t="s">
        <v>54</v>
      </c>
      <c r="G199" s="32">
        <v>1602</v>
      </c>
      <c r="H199" s="89">
        <v>159.85</v>
      </c>
      <c r="I199" s="38" t="s">
        <v>1106</v>
      </c>
      <c r="J199" s="32" t="s">
        <v>1043</v>
      </c>
      <c r="K199" s="116"/>
      <c r="L199" s="116"/>
      <c r="M199" s="116"/>
      <c r="N199" s="116"/>
      <c r="O199" s="116"/>
      <c r="P199" s="38" t="s">
        <v>1118</v>
      </c>
    </row>
    <row r="200" spans="1:16" ht="30" customHeight="1">
      <c r="A200" s="118" t="s">
        <v>298</v>
      </c>
      <c r="B200" s="119" t="s">
        <v>292</v>
      </c>
      <c r="C200" s="32">
        <v>1</v>
      </c>
      <c r="D200" s="114" t="s">
        <v>116</v>
      </c>
      <c r="E200" s="114" t="s">
        <v>289</v>
      </c>
      <c r="F200" s="119" t="s">
        <v>54</v>
      </c>
      <c r="G200" s="32">
        <v>1602</v>
      </c>
      <c r="H200" s="89">
        <v>159.85</v>
      </c>
      <c r="I200" s="38" t="s">
        <v>1106</v>
      </c>
      <c r="J200" s="32" t="s">
        <v>1043</v>
      </c>
      <c r="K200" s="116"/>
      <c r="L200" s="116"/>
      <c r="M200" s="116"/>
      <c r="N200" s="116"/>
      <c r="O200" s="116"/>
      <c r="P200" s="38" t="s">
        <v>1118</v>
      </c>
    </row>
    <row r="201" spans="1:16" ht="30" customHeight="1">
      <c r="A201" s="118" t="s">
        <v>299</v>
      </c>
      <c r="B201" s="119" t="s">
        <v>292</v>
      </c>
      <c r="C201" s="32">
        <v>1</v>
      </c>
      <c r="D201" s="114" t="s">
        <v>116</v>
      </c>
      <c r="E201" s="114" t="s">
        <v>289</v>
      </c>
      <c r="F201" s="119" t="s">
        <v>54</v>
      </c>
      <c r="G201" s="32">
        <v>1602</v>
      </c>
      <c r="H201" s="89">
        <v>159.85</v>
      </c>
      <c r="I201" s="38" t="s">
        <v>1106</v>
      </c>
      <c r="J201" s="32" t="s">
        <v>1043</v>
      </c>
      <c r="K201" s="116"/>
      <c r="L201" s="116"/>
      <c r="M201" s="116"/>
      <c r="N201" s="116"/>
      <c r="O201" s="116"/>
      <c r="P201" s="38" t="s">
        <v>1118</v>
      </c>
    </row>
    <row r="202" spans="1:16" ht="27" customHeight="1">
      <c r="A202" s="118" t="s">
        <v>300</v>
      </c>
      <c r="B202" s="119" t="s">
        <v>292</v>
      </c>
      <c r="C202" s="32">
        <v>1</v>
      </c>
      <c r="D202" s="114" t="s">
        <v>116</v>
      </c>
      <c r="E202" s="114" t="s">
        <v>289</v>
      </c>
      <c r="F202" s="119" t="s">
        <v>54</v>
      </c>
      <c r="G202" s="32">
        <v>1602</v>
      </c>
      <c r="H202" s="89">
        <v>159.85</v>
      </c>
      <c r="I202" s="38" t="s">
        <v>1106</v>
      </c>
      <c r="J202" s="32" t="s">
        <v>1043</v>
      </c>
      <c r="K202" s="116"/>
      <c r="L202" s="116"/>
      <c r="M202" s="116"/>
      <c r="N202" s="116"/>
      <c r="O202" s="116"/>
      <c r="P202" s="38" t="s">
        <v>1118</v>
      </c>
    </row>
    <row r="203" spans="1:16" ht="28.5" customHeight="1">
      <c r="A203" s="118" t="s">
        <v>301</v>
      </c>
      <c r="B203" s="119" t="s">
        <v>292</v>
      </c>
      <c r="C203" s="32">
        <v>1</v>
      </c>
      <c r="D203" s="114" t="s">
        <v>116</v>
      </c>
      <c r="E203" s="114" t="s">
        <v>289</v>
      </c>
      <c r="F203" s="119" t="s">
        <v>54</v>
      </c>
      <c r="G203" s="32">
        <v>1602</v>
      </c>
      <c r="H203" s="89">
        <v>159.85</v>
      </c>
      <c r="I203" s="38" t="s">
        <v>1106</v>
      </c>
      <c r="J203" s="32" t="s">
        <v>1043</v>
      </c>
      <c r="K203" s="116"/>
      <c r="L203" s="116"/>
      <c r="M203" s="116"/>
      <c r="N203" s="116"/>
      <c r="O203" s="116"/>
      <c r="P203" s="38" t="s">
        <v>1118</v>
      </c>
    </row>
    <row r="204" spans="1:16" ht="26.25" customHeight="1">
      <c r="A204" s="118" t="s">
        <v>302</v>
      </c>
      <c r="B204" s="119" t="s">
        <v>292</v>
      </c>
      <c r="C204" s="32">
        <v>1</v>
      </c>
      <c r="D204" s="114" t="s">
        <v>116</v>
      </c>
      <c r="E204" s="114" t="s">
        <v>289</v>
      </c>
      <c r="F204" s="119" t="s">
        <v>54</v>
      </c>
      <c r="G204" s="32">
        <v>1602</v>
      </c>
      <c r="H204" s="89">
        <v>159.85</v>
      </c>
      <c r="I204" s="38" t="s">
        <v>1106</v>
      </c>
      <c r="J204" s="32" t="s">
        <v>1043</v>
      </c>
      <c r="K204" s="116"/>
      <c r="L204" s="116"/>
      <c r="M204" s="116"/>
      <c r="N204" s="116"/>
      <c r="O204" s="116"/>
      <c r="P204" s="38" t="s">
        <v>1118</v>
      </c>
    </row>
    <row r="205" spans="1:16" ht="25.5" customHeight="1">
      <c r="A205" s="118" t="s">
        <v>303</v>
      </c>
      <c r="B205" s="119" t="s">
        <v>292</v>
      </c>
      <c r="C205" s="32">
        <v>1</v>
      </c>
      <c r="D205" s="114" t="s">
        <v>116</v>
      </c>
      <c r="E205" s="114" t="s">
        <v>289</v>
      </c>
      <c r="F205" s="119" t="s">
        <v>54</v>
      </c>
      <c r="G205" s="32">
        <v>1602</v>
      </c>
      <c r="H205" s="89">
        <v>159.85</v>
      </c>
      <c r="I205" s="38" t="s">
        <v>1106</v>
      </c>
      <c r="J205" s="32" t="s">
        <v>1043</v>
      </c>
      <c r="K205" s="116"/>
      <c r="L205" s="116"/>
      <c r="M205" s="116"/>
      <c r="N205" s="116"/>
      <c r="O205" s="116"/>
      <c r="P205" s="38" t="s">
        <v>1118</v>
      </c>
    </row>
    <row r="206" spans="1:16" ht="27" customHeight="1">
      <c r="A206" s="118" t="s">
        <v>304</v>
      </c>
      <c r="B206" s="119" t="s">
        <v>292</v>
      </c>
      <c r="C206" s="32">
        <v>1</v>
      </c>
      <c r="D206" s="114" t="s">
        <v>116</v>
      </c>
      <c r="E206" s="114" t="s">
        <v>289</v>
      </c>
      <c r="F206" s="119" t="s">
        <v>54</v>
      </c>
      <c r="G206" s="32">
        <v>1602</v>
      </c>
      <c r="H206" s="89">
        <v>159.85</v>
      </c>
      <c r="I206" s="38" t="s">
        <v>1106</v>
      </c>
      <c r="J206" s="32" t="s">
        <v>1043</v>
      </c>
      <c r="K206" s="116"/>
      <c r="L206" s="116"/>
      <c r="M206" s="116"/>
      <c r="N206" s="116"/>
      <c r="O206" s="116"/>
      <c r="P206" s="38" t="s">
        <v>1118</v>
      </c>
    </row>
    <row r="207" spans="1:16" ht="26.25" customHeight="1">
      <c r="A207" s="118" t="s">
        <v>305</v>
      </c>
      <c r="B207" s="119" t="s">
        <v>292</v>
      </c>
      <c r="C207" s="32">
        <v>1</v>
      </c>
      <c r="D207" s="114" t="s">
        <v>116</v>
      </c>
      <c r="E207" s="114" t="s">
        <v>289</v>
      </c>
      <c r="F207" s="119" t="s">
        <v>54</v>
      </c>
      <c r="G207" s="32">
        <v>1602</v>
      </c>
      <c r="H207" s="89">
        <v>159.85</v>
      </c>
      <c r="I207" s="38" t="s">
        <v>1106</v>
      </c>
      <c r="J207" s="32" t="s">
        <v>1043</v>
      </c>
      <c r="K207" s="116"/>
      <c r="L207" s="116"/>
      <c r="M207" s="116"/>
      <c r="N207" s="116"/>
      <c r="O207" s="116"/>
      <c r="P207" s="38" t="s">
        <v>1118</v>
      </c>
    </row>
    <row r="208" spans="1:16" ht="24.75" customHeight="1">
      <c r="A208" s="118" t="s">
        <v>306</v>
      </c>
      <c r="B208" s="119" t="s">
        <v>292</v>
      </c>
      <c r="C208" s="32">
        <v>1</v>
      </c>
      <c r="D208" s="114" t="s">
        <v>116</v>
      </c>
      <c r="E208" s="114" t="s">
        <v>289</v>
      </c>
      <c r="F208" s="119" t="s">
        <v>54</v>
      </c>
      <c r="G208" s="32">
        <v>1602</v>
      </c>
      <c r="H208" s="89">
        <v>159.85</v>
      </c>
      <c r="I208" s="38" t="s">
        <v>1106</v>
      </c>
      <c r="J208" s="32" t="s">
        <v>1043</v>
      </c>
      <c r="K208" s="116"/>
      <c r="L208" s="116"/>
      <c r="M208" s="116"/>
      <c r="N208" s="116"/>
      <c r="O208" s="116"/>
      <c r="P208" s="38" t="s">
        <v>1118</v>
      </c>
    </row>
    <row r="209" spans="1:16" ht="27" customHeight="1">
      <c r="A209" s="118" t="s">
        <v>307</v>
      </c>
      <c r="B209" s="119" t="s">
        <v>292</v>
      </c>
      <c r="C209" s="32">
        <v>1</v>
      </c>
      <c r="D209" s="114" t="s">
        <v>116</v>
      </c>
      <c r="E209" s="114" t="s">
        <v>289</v>
      </c>
      <c r="F209" s="119" t="s">
        <v>54</v>
      </c>
      <c r="G209" s="32">
        <v>1602</v>
      </c>
      <c r="H209" s="89">
        <v>159.85</v>
      </c>
      <c r="I209" s="38" t="s">
        <v>1106</v>
      </c>
      <c r="J209" s="32" t="s">
        <v>1043</v>
      </c>
      <c r="K209" s="116"/>
      <c r="L209" s="116"/>
      <c r="M209" s="116"/>
      <c r="N209" s="116"/>
      <c r="O209" s="116"/>
      <c r="P209" s="38" t="s">
        <v>1118</v>
      </c>
    </row>
    <row r="210" spans="1:16" ht="27" customHeight="1">
      <c r="A210" s="118" t="s">
        <v>308</v>
      </c>
      <c r="B210" s="119" t="s">
        <v>292</v>
      </c>
      <c r="C210" s="32">
        <v>1</v>
      </c>
      <c r="D210" s="114" t="s">
        <v>116</v>
      </c>
      <c r="E210" s="114" t="s">
        <v>289</v>
      </c>
      <c r="F210" s="119" t="s">
        <v>54</v>
      </c>
      <c r="G210" s="32">
        <v>1602</v>
      </c>
      <c r="H210" s="89">
        <v>159.85</v>
      </c>
      <c r="I210" s="38" t="s">
        <v>1106</v>
      </c>
      <c r="J210" s="32" t="s">
        <v>1043</v>
      </c>
      <c r="K210" s="116"/>
      <c r="L210" s="116"/>
      <c r="M210" s="116"/>
      <c r="N210" s="116"/>
      <c r="O210" s="116"/>
      <c r="P210" s="38" t="s">
        <v>1118</v>
      </c>
    </row>
    <row r="211" spans="1:16" ht="27" customHeight="1">
      <c r="A211" s="118" t="s">
        <v>309</v>
      </c>
      <c r="B211" s="119" t="s">
        <v>292</v>
      </c>
      <c r="C211" s="32">
        <v>1</v>
      </c>
      <c r="D211" s="114" t="s">
        <v>116</v>
      </c>
      <c r="E211" s="114" t="s">
        <v>289</v>
      </c>
      <c r="F211" s="119" t="s">
        <v>54</v>
      </c>
      <c r="G211" s="32">
        <v>1602</v>
      </c>
      <c r="H211" s="89">
        <v>159.85</v>
      </c>
      <c r="I211" s="38" t="s">
        <v>1106</v>
      </c>
      <c r="J211" s="32" t="s">
        <v>1043</v>
      </c>
      <c r="K211" s="116"/>
      <c r="L211" s="116"/>
      <c r="M211" s="116"/>
      <c r="N211" s="116"/>
      <c r="O211" s="116"/>
      <c r="P211" s="38" t="s">
        <v>1118</v>
      </c>
    </row>
    <row r="212" spans="1:16" ht="36">
      <c r="A212" s="118" t="s">
        <v>779</v>
      </c>
      <c r="B212" s="119" t="s">
        <v>117</v>
      </c>
      <c r="C212" s="32">
        <v>1</v>
      </c>
      <c r="D212" s="114" t="s">
        <v>116</v>
      </c>
      <c r="E212" s="114"/>
      <c r="F212" s="119" t="s">
        <v>184</v>
      </c>
      <c r="G212" s="32">
        <v>1602</v>
      </c>
      <c r="H212" s="89">
        <f>284*1.15</f>
        <v>326.59999999999997</v>
      </c>
      <c r="I212" s="38" t="s">
        <v>221</v>
      </c>
      <c r="J212" s="32" t="s">
        <v>1043</v>
      </c>
      <c r="K212" s="116"/>
      <c r="L212" s="116"/>
      <c r="M212" s="116"/>
      <c r="N212" s="116"/>
      <c r="O212" s="116"/>
      <c r="P212" s="33" t="s">
        <v>1117</v>
      </c>
    </row>
    <row r="213" spans="1:16" ht="30" customHeight="1">
      <c r="A213" s="118" t="s">
        <v>779</v>
      </c>
      <c r="B213" s="119" t="s">
        <v>124</v>
      </c>
      <c r="C213" s="32">
        <v>2</v>
      </c>
      <c r="D213" s="114" t="s">
        <v>116</v>
      </c>
      <c r="E213" s="114"/>
      <c r="F213" s="119" t="s">
        <v>54</v>
      </c>
      <c r="G213" s="32">
        <v>1602</v>
      </c>
      <c r="H213" s="89">
        <f>44*1.15</f>
        <v>50.599999999999994</v>
      </c>
      <c r="I213" s="38" t="s">
        <v>1106</v>
      </c>
      <c r="J213" s="32" t="s">
        <v>1043</v>
      </c>
      <c r="K213" s="116"/>
      <c r="L213" s="116"/>
      <c r="M213" s="116"/>
      <c r="N213" s="116"/>
      <c r="O213" s="116"/>
      <c r="P213" s="38" t="s">
        <v>1118</v>
      </c>
    </row>
    <row r="214" spans="1:16" ht="30" customHeight="1">
      <c r="A214" s="118" t="s">
        <v>779</v>
      </c>
      <c r="B214" s="119" t="s">
        <v>118</v>
      </c>
      <c r="C214" s="32">
        <v>2</v>
      </c>
      <c r="D214" s="114" t="s">
        <v>116</v>
      </c>
      <c r="E214" s="114"/>
      <c r="F214" s="119" t="s">
        <v>54</v>
      </c>
      <c r="G214" s="32">
        <v>1602</v>
      </c>
      <c r="H214" s="89">
        <f>58*1.15</f>
        <v>66.699999999999989</v>
      </c>
      <c r="I214" s="38" t="s">
        <v>1106</v>
      </c>
      <c r="J214" s="32" t="s">
        <v>1043</v>
      </c>
      <c r="K214" s="116"/>
      <c r="L214" s="116"/>
      <c r="M214" s="116"/>
      <c r="N214" s="116"/>
      <c r="O214" s="116"/>
      <c r="P214" s="38" t="s">
        <v>1118</v>
      </c>
    </row>
    <row r="215" spans="1:16" ht="30" customHeight="1">
      <c r="A215" s="118" t="s">
        <v>779</v>
      </c>
      <c r="B215" s="119" t="s">
        <v>119</v>
      </c>
      <c r="C215" s="32">
        <v>2</v>
      </c>
      <c r="D215" s="114" t="s">
        <v>116</v>
      </c>
      <c r="E215" s="114"/>
      <c r="F215" s="119" t="s">
        <v>54</v>
      </c>
      <c r="G215" s="32">
        <v>1602</v>
      </c>
      <c r="H215" s="89">
        <f>48*1.15</f>
        <v>55.199999999999996</v>
      </c>
      <c r="I215" s="38" t="s">
        <v>1106</v>
      </c>
      <c r="J215" s="32" t="s">
        <v>1043</v>
      </c>
      <c r="K215" s="116"/>
      <c r="L215" s="116"/>
      <c r="M215" s="116"/>
      <c r="N215" s="116"/>
      <c r="O215" s="116"/>
      <c r="P215" s="38" t="s">
        <v>1118</v>
      </c>
    </row>
    <row r="216" spans="1:16" ht="30" customHeight="1">
      <c r="A216" s="118" t="s">
        <v>779</v>
      </c>
      <c r="B216" s="119" t="s">
        <v>120</v>
      </c>
      <c r="C216" s="32">
        <v>2</v>
      </c>
      <c r="D216" s="114" t="s">
        <v>116</v>
      </c>
      <c r="E216" s="114"/>
      <c r="F216" s="119" t="s">
        <v>54</v>
      </c>
      <c r="G216" s="32">
        <v>1602</v>
      </c>
      <c r="H216" s="89">
        <f>56*1.15</f>
        <v>64.399999999999991</v>
      </c>
      <c r="I216" s="38" t="s">
        <v>1106</v>
      </c>
      <c r="J216" s="32" t="s">
        <v>1043</v>
      </c>
      <c r="K216" s="116"/>
      <c r="L216" s="116"/>
      <c r="M216" s="116"/>
      <c r="N216" s="116"/>
      <c r="O216" s="116"/>
      <c r="P216" s="38" t="s">
        <v>1118</v>
      </c>
    </row>
    <row r="217" spans="1:16" ht="30" customHeight="1">
      <c r="A217" s="118" t="s">
        <v>779</v>
      </c>
      <c r="B217" s="119" t="s">
        <v>121</v>
      </c>
      <c r="C217" s="32">
        <v>2</v>
      </c>
      <c r="D217" s="114" t="s">
        <v>116</v>
      </c>
      <c r="E217" s="114"/>
      <c r="F217" s="119" t="s">
        <v>884</v>
      </c>
      <c r="G217" s="32">
        <v>1602</v>
      </c>
      <c r="H217" s="89">
        <f>84*1.15</f>
        <v>96.6</v>
      </c>
      <c r="I217" s="38" t="s">
        <v>1106</v>
      </c>
      <c r="J217" s="32" t="s">
        <v>1043</v>
      </c>
      <c r="K217" s="116"/>
      <c r="L217" s="116"/>
      <c r="M217" s="116"/>
      <c r="N217" s="116"/>
      <c r="O217" s="116"/>
      <c r="P217" s="38" t="s">
        <v>1118</v>
      </c>
    </row>
    <row r="218" spans="1:16" ht="30" customHeight="1">
      <c r="A218" s="118" t="s">
        <v>779</v>
      </c>
      <c r="B218" s="119" t="s">
        <v>122</v>
      </c>
      <c r="C218" s="32">
        <v>2</v>
      </c>
      <c r="D218" s="114" t="s">
        <v>116</v>
      </c>
      <c r="E218" s="114"/>
      <c r="F218" s="119" t="s">
        <v>54</v>
      </c>
      <c r="G218" s="32">
        <v>1602</v>
      </c>
      <c r="H218" s="89">
        <f>245*1.15</f>
        <v>281.75</v>
      </c>
      <c r="I218" s="38" t="s">
        <v>1106</v>
      </c>
      <c r="J218" s="32" t="s">
        <v>1043</v>
      </c>
      <c r="K218" s="116"/>
      <c r="L218" s="116"/>
      <c r="M218" s="116"/>
      <c r="N218" s="116"/>
      <c r="O218" s="116"/>
      <c r="P218" s="38" t="s">
        <v>1118</v>
      </c>
    </row>
    <row r="219" spans="1:16" ht="27" customHeight="1">
      <c r="A219" s="118" t="s">
        <v>779</v>
      </c>
      <c r="B219" s="119" t="s">
        <v>123</v>
      </c>
      <c r="C219" s="32">
        <v>2</v>
      </c>
      <c r="D219" s="114" t="s">
        <v>116</v>
      </c>
      <c r="E219" s="114"/>
      <c r="F219" s="119" t="s">
        <v>184</v>
      </c>
      <c r="G219" s="32">
        <v>1602</v>
      </c>
      <c r="H219" s="89">
        <f>94*1.15</f>
        <v>108.1</v>
      </c>
      <c r="I219" s="38" t="s">
        <v>1106</v>
      </c>
      <c r="J219" s="32" t="s">
        <v>1043</v>
      </c>
      <c r="K219" s="116"/>
      <c r="L219" s="116"/>
      <c r="M219" s="116"/>
      <c r="N219" s="116"/>
      <c r="O219" s="116"/>
      <c r="P219" s="38" t="s">
        <v>1118</v>
      </c>
    </row>
    <row r="220" spans="1:16" ht="33.75" customHeight="1">
      <c r="A220" s="118" t="s">
        <v>779</v>
      </c>
      <c r="B220" s="119" t="s">
        <v>125</v>
      </c>
      <c r="C220" s="32">
        <v>10</v>
      </c>
      <c r="D220" s="114" t="s">
        <v>116</v>
      </c>
      <c r="E220" s="114"/>
      <c r="F220" s="119" t="s">
        <v>821</v>
      </c>
      <c r="G220" s="32">
        <v>1602</v>
      </c>
      <c r="H220" s="89">
        <f>1800*1.15</f>
        <v>2070</v>
      </c>
      <c r="I220" s="38" t="s">
        <v>822</v>
      </c>
      <c r="J220" s="32" t="s">
        <v>1043</v>
      </c>
      <c r="K220" s="116"/>
      <c r="L220" s="116"/>
      <c r="M220" s="116"/>
      <c r="N220" s="116"/>
      <c r="O220" s="116"/>
      <c r="P220" s="38" t="s">
        <v>1120</v>
      </c>
    </row>
    <row r="221" spans="1:16" s="1" customFormat="1" ht="26.25" customHeight="1">
      <c r="A221" s="118" t="s">
        <v>823</v>
      </c>
      <c r="B221" s="119" t="s">
        <v>284</v>
      </c>
      <c r="C221" s="32">
        <v>1</v>
      </c>
      <c r="D221" s="114" t="s">
        <v>116</v>
      </c>
      <c r="E221" s="114"/>
      <c r="F221" s="119" t="s">
        <v>54</v>
      </c>
      <c r="G221" s="32">
        <v>1602</v>
      </c>
      <c r="H221" s="89">
        <v>1322.5</v>
      </c>
      <c r="I221" s="38" t="s">
        <v>185</v>
      </c>
      <c r="J221" s="32" t="s">
        <v>1043</v>
      </c>
      <c r="K221" s="150"/>
      <c r="L221" s="150"/>
      <c r="M221" s="150"/>
      <c r="N221" s="150"/>
      <c r="O221" s="150"/>
      <c r="P221" s="33" t="s">
        <v>1117</v>
      </c>
    </row>
    <row r="222" spans="1:16" s="1" customFormat="1" ht="21" customHeight="1">
      <c r="A222" s="118" t="s">
        <v>286</v>
      </c>
      <c r="B222" s="119" t="s">
        <v>284</v>
      </c>
      <c r="C222" s="32">
        <v>1</v>
      </c>
      <c r="D222" s="114" t="s">
        <v>116</v>
      </c>
      <c r="E222" s="114" t="s">
        <v>285</v>
      </c>
      <c r="F222" s="119" t="s">
        <v>54</v>
      </c>
      <c r="G222" s="32">
        <v>1602</v>
      </c>
      <c r="H222" s="89">
        <v>1322.5</v>
      </c>
      <c r="I222" s="38" t="s">
        <v>1106</v>
      </c>
      <c r="J222" s="32" t="s">
        <v>1043</v>
      </c>
      <c r="K222" s="150"/>
      <c r="L222" s="150"/>
      <c r="M222" s="150"/>
      <c r="N222" s="150"/>
      <c r="O222" s="150"/>
      <c r="P222" s="38" t="s">
        <v>1118</v>
      </c>
    </row>
    <row r="223" spans="1:16" ht="11.25">
      <c r="A223" s="116"/>
      <c r="B223" s="116"/>
      <c r="C223" s="116"/>
      <c r="D223" s="116"/>
      <c r="E223" s="116"/>
      <c r="F223" s="116"/>
      <c r="G223" s="116"/>
      <c r="H223" s="161">
        <f>SUM(H189:H222)</f>
        <v>37125.449999999968</v>
      </c>
      <c r="I223" s="116"/>
      <c r="J223" s="116"/>
      <c r="K223" s="116"/>
      <c r="L223" s="116"/>
      <c r="M223" s="116"/>
      <c r="N223" s="116"/>
      <c r="O223" s="116"/>
      <c r="P223" s="116"/>
    </row>
    <row r="224" spans="1:16" ht="11.25">
      <c r="A224" s="116"/>
      <c r="B224" s="116"/>
      <c r="C224" s="116"/>
      <c r="D224" s="116"/>
      <c r="E224" s="116"/>
      <c r="F224" s="116"/>
      <c r="G224" s="116"/>
      <c r="H224" s="162"/>
      <c r="I224" s="116"/>
      <c r="J224" s="161"/>
      <c r="K224" s="116"/>
      <c r="L224" s="116"/>
      <c r="M224" s="116"/>
      <c r="N224" s="116"/>
      <c r="O224" s="116"/>
      <c r="P224" s="116"/>
    </row>
    <row r="225" spans="1:17" s="1" customFormat="1" ht="11.25" customHeight="1">
      <c r="A225" s="194" t="s">
        <v>17</v>
      </c>
      <c r="B225" s="194" t="s">
        <v>19</v>
      </c>
      <c r="C225" s="194" t="s">
        <v>20</v>
      </c>
      <c r="D225" s="194" t="s">
        <v>115</v>
      </c>
      <c r="E225" s="194" t="s">
        <v>1121</v>
      </c>
      <c r="F225" s="194" t="s">
        <v>23</v>
      </c>
      <c r="G225" s="194" t="s">
        <v>24</v>
      </c>
      <c r="H225" s="195" t="s">
        <v>25</v>
      </c>
      <c r="I225" s="195" t="s">
        <v>18</v>
      </c>
      <c r="J225" s="203" t="s">
        <v>470</v>
      </c>
      <c r="K225" s="167"/>
      <c r="L225" s="167"/>
      <c r="M225" s="167"/>
      <c r="N225" s="167"/>
      <c r="O225" s="167"/>
      <c r="P225" s="203" t="s">
        <v>1115</v>
      </c>
      <c r="Q225" s="7"/>
    </row>
    <row r="226" spans="1:17" s="1" customFormat="1" ht="15" customHeight="1">
      <c r="A226" s="194"/>
      <c r="B226" s="194"/>
      <c r="C226" s="194"/>
      <c r="D226" s="194"/>
      <c r="E226" s="194"/>
      <c r="F226" s="194"/>
      <c r="G226" s="194"/>
      <c r="H226" s="195"/>
      <c r="I226" s="195"/>
      <c r="J226" s="203"/>
      <c r="K226" s="167"/>
      <c r="L226" s="167"/>
      <c r="M226" s="167"/>
      <c r="N226" s="167"/>
      <c r="O226" s="167"/>
      <c r="P226" s="203"/>
    </row>
    <row r="227" spans="1:17" s="1" customFormat="1" ht="32.25" customHeight="1">
      <c r="A227" s="118" t="s">
        <v>312</v>
      </c>
      <c r="B227" s="119" t="s">
        <v>313</v>
      </c>
      <c r="C227" s="32">
        <v>1</v>
      </c>
      <c r="D227" s="114" t="s">
        <v>806</v>
      </c>
      <c r="E227" s="114" t="s">
        <v>807</v>
      </c>
      <c r="F227" s="119" t="s">
        <v>54</v>
      </c>
      <c r="G227" s="32">
        <v>319</v>
      </c>
      <c r="H227" s="89">
        <v>4000</v>
      </c>
      <c r="I227" s="38" t="s">
        <v>1092</v>
      </c>
      <c r="J227" s="32" t="s">
        <v>1043</v>
      </c>
      <c r="K227" s="150"/>
      <c r="L227" s="150"/>
      <c r="M227" s="150"/>
      <c r="N227" s="150"/>
      <c r="O227" s="150"/>
      <c r="P227" s="38" t="s">
        <v>1116</v>
      </c>
    </row>
    <row r="228" spans="1:17" s="1" customFormat="1" ht="29.25" customHeight="1">
      <c r="A228" s="118" t="s">
        <v>314</v>
      </c>
      <c r="B228" s="119" t="s">
        <v>315</v>
      </c>
      <c r="C228" s="32">
        <v>1</v>
      </c>
      <c r="D228" s="114" t="s">
        <v>806</v>
      </c>
      <c r="E228" s="114" t="s">
        <v>316</v>
      </c>
      <c r="F228" s="119" t="s">
        <v>54</v>
      </c>
      <c r="G228" s="32">
        <v>319</v>
      </c>
      <c r="H228" s="89">
        <v>1600</v>
      </c>
      <c r="I228" s="38" t="s">
        <v>1106</v>
      </c>
      <c r="J228" s="32" t="s">
        <v>1043</v>
      </c>
      <c r="K228" s="150"/>
      <c r="L228" s="150"/>
      <c r="M228" s="150"/>
      <c r="N228" s="150"/>
      <c r="O228" s="150"/>
      <c r="P228" s="38" t="s">
        <v>1118</v>
      </c>
      <c r="Q228" s="111"/>
    </row>
    <row r="229" spans="1:17" ht="33.75" customHeight="1">
      <c r="A229" s="118" t="s">
        <v>317</v>
      </c>
      <c r="B229" s="119" t="s">
        <v>315</v>
      </c>
      <c r="C229" s="32">
        <v>1</v>
      </c>
      <c r="D229" s="114" t="s">
        <v>806</v>
      </c>
      <c r="E229" s="114" t="s">
        <v>316</v>
      </c>
      <c r="F229" s="119" t="s">
        <v>54</v>
      </c>
      <c r="G229" s="32">
        <v>319</v>
      </c>
      <c r="H229" s="89">
        <v>1600</v>
      </c>
      <c r="I229" s="38" t="s">
        <v>1106</v>
      </c>
      <c r="J229" s="32" t="s">
        <v>1043</v>
      </c>
      <c r="K229" s="116"/>
      <c r="L229" s="116"/>
      <c r="M229" s="116"/>
      <c r="N229" s="116"/>
      <c r="O229" s="116"/>
      <c r="P229" s="38" t="s">
        <v>1118</v>
      </c>
    </row>
    <row r="230" spans="1:17" ht="11.25">
      <c r="A230" s="116"/>
      <c r="B230" s="116"/>
      <c r="C230" s="116"/>
      <c r="D230" s="116"/>
      <c r="E230" s="116"/>
      <c r="F230" s="116"/>
      <c r="G230" s="116"/>
      <c r="H230" s="162">
        <f>SUM(H227:H229)</f>
        <v>7200</v>
      </c>
      <c r="I230" s="116"/>
      <c r="J230" s="161"/>
      <c r="K230" s="116"/>
      <c r="L230" s="116"/>
      <c r="M230" s="116"/>
      <c r="N230" s="116"/>
      <c r="O230" s="116"/>
      <c r="P230" s="116"/>
    </row>
    <row r="231" spans="1:17" s="1" customFormat="1" ht="11.25" customHeight="1">
      <c r="A231" s="194" t="s">
        <v>17</v>
      </c>
      <c r="B231" s="194" t="s">
        <v>19</v>
      </c>
      <c r="C231" s="194" t="s">
        <v>20</v>
      </c>
      <c r="D231" s="194" t="s">
        <v>115</v>
      </c>
      <c r="E231" s="194" t="s">
        <v>1121</v>
      </c>
      <c r="F231" s="194" t="s">
        <v>23</v>
      </c>
      <c r="G231" s="194" t="s">
        <v>24</v>
      </c>
      <c r="H231" s="195" t="s">
        <v>25</v>
      </c>
      <c r="I231" s="195" t="s">
        <v>18</v>
      </c>
      <c r="J231" s="203" t="s">
        <v>470</v>
      </c>
      <c r="K231" s="167"/>
      <c r="L231" s="167"/>
      <c r="M231" s="167"/>
      <c r="N231" s="167"/>
      <c r="O231" s="167"/>
      <c r="P231" s="203" t="s">
        <v>1115</v>
      </c>
      <c r="Q231" s="7"/>
    </row>
    <row r="232" spans="1:17" s="1" customFormat="1" ht="15" customHeight="1">
      <c r="A232" s="194"/>
      <c r="B232" s="194"/>
      <c r="C232" s="194"/>
      <c r="D232" s="194"/>
      <c r="E232" s="194"/>
      <c r="F232" s="194"/>
      <c r="G232" s="194"/>
      <c r="H232" s="195"/>
      <c r="I232" s="195"/>
      <c r="J232" s="203"/>
      <c r="K232" s="167"/>
      <c r="L232" s="167"/>
      <c r="M232" s="167"/>
      <c r="N232" s="167"/>
      <c r="O232" s="167"/>
      <c r="P232" s="203"/>
    </row>
    <row r="233" spans="1:17" ht="28.5" customHeight="1">
      <c r="A233" s="118" t="s">
        <v>1098</v>
      </c>
      <c r="B233" s="119" t="s">
        <v>808</v>
      </c>
      <c r="C233" s="32">
        <v>1</v>
      </c>
      <c r="D233" s="114" t="s">
        <v>809</v>
      </c>
      <c r="E233" s="114" t="s">
        <v>810</v>
      </c>
      <c r="F233" s="119"/>
      <c r="G233" s="32">
        <v>5</v>
      </c>
      <c r="H233" s="89">
        <f>1950*1.15</f>
        <v>2242.5</v>
      </c>
      <c r="I233" s="38" t="s">
        <v>1091</v>
      </c>
      <c r="J233" s="32" t="s">
        <v>1043</v>
      </c>
      <c r="K233" s="116"/>
      <c r="L233" s="116"/>
      <c r="M233" s="116"/>
      <c r="N233" s="116"/>
      <c r="O233" s="116"/>
      <c r="P233" s="38" t="s">
        <v>1116</v>
      </c>
    </row>
    <row r="234" spans="1:17" ht="33.75" customHeight="1">
      <c r="A234" s="118"/>
      <c r="B234" s="119" t="s">
        <v>323</v>
      </c>
      <c r="C234" s="32">
        <v>2</v>
      </c>
      <c r="D234" s="114" t="s">
        <v>809</v>
      </c>
      <c r="E234" s="114"/>
      <c r="F234" s="119"/>
      <c r="G234" s="32">
        <v>5</v>
      </c>
      <c r="H234" s="89">
        <f>780*1.15</f>
        <v>896.99999999999989</v>
      </c>
      <c r="I234" s="38" t="s">
        <v>1106</v>
      </c>
      <c r="J234" s="32" t="s">
        <v>1043</v>
      </c>
      <c r="K234" s="116"/>
      <c r="L234" s="116"/>
      <c r="M234" s="116"/>
      <c r="N234" s="116"/>
      <c r="O234" s="116"/>
      <c r="P234" s="38" t="s">
        <v>1118</v>
      </c>
      <c r="Q234" s="12"/>
    </row>
    <row r="235" spans="1:17" ht="30" customHeight="1">
      <c r="A235" s="118" t="s">
        <v>1096</v>
      </c>
      <c r="B235" s="119" t="s">
        <v>812</v>
      </c>
      <c r="C235" s="32">
        <v>1</v>
      </c>
      <c r="D235" s="114" t="s">
        <v>809</v>
      </c>
      <c r="E235" s="114" t="s">
        <v>811</v>
      </c>
      <c r="F235" s="119"/>
      <c r="G235" s="32">
        <v>5</v>
      </c>
      <c r="H235" s="89">
        <f>5890*1.15</f>
        <v>6773.4999999999991</v>
      </c>
      <c r="I235" s="38" t="s">
        <v>1091</v>
      </c>
      <c r="J235" s="32" t="s">
        <v>1043</v>
      </c>
      <c r="K235" s="116"/>
      <c r="L235" s="116"/>
      <c r="M235" s="116"/>
      <c r="N235" s="116"/>
      <c r="O235" s="116"/>
      <c r="P235" s="38" t="s">
        <v>1116</v>
      </c>
    </row>
    <row r="236" spans="1:17" s="1" customFormat="1" ht="31.5" customHeight="1">
      <c r="A236" s="118"/>
      <c r="B236" s="119" t="s">
        <v>813</v>
      </c>
      <c r="C236" s="32">
        <v>2</v>
      </c>
      <c r="D236" s="114" t="s">
        <v>809</v>
      </c>
      <c r="E236" s="114" t="s">
        <v>319</v>
      </c>
      <c r="F236" s="119"/>
      <c r="G236" s="32">
        <v>5</v>
      </c>
      <c r="H236" s="89">
        <f>570*1.15</f>
        <v>655.5</v>
      </c>
      <c r="I236" s="38" t="s">
        <v>1106</v>
      </c>
      <c r="J236" s="32" t="s">
        <v>1043</v>
      </c>
      <c r="K236" s="150"/>
      <c r="L236" s="150"/>
      <c r="M236" s="150"/>
      <c r="N236" s="150"/>
      <c r="O236" s="150"/>
      <c r="P236" s="38" t="s">
        <v>1118</v>
      </c>
    </row>
    <row r="237" spans="1:17" s="1" customFormat="1" ht="30.75" customHeight="1">
      <c r="A237" s="118"/>
      <c r="B237" s="119" t="s">
        <v>814</v>
      </c>
      <c r="C237" s="32">
        <v>1</v>
      </c>
      <c r="D237" s="114" t="s">
        <v>809</v>
      </c>
      <c r="E237" s="114" t="s">
        <v>815</v>
      </c>
      <c r="F237" s="119"/>
      <c r="G237" s="32">
        <v>5</v>
      </c>
      <c r="H237" s="89">
        <f>1950*1.15</f>
        <v>2242.5</v>
      </c>
      <c r="I237" s="38" t="s">
        <v>1106</v>
      </c>
      <c r="J237" s="119" t="s">
        <v>1043</v>
      </c>
      <c r="K237" s="150"/>
      <c r="L237" s="150"/>
      <c r="M237" s="150"/>
      <c r="N237" s="150"/>
      <c r="O237" s="150"/>
      <c r="P237" s="38" t="s">
        <v>1118</v>
      </c>
    </row>
    <row r="238" spans="1:17" ht="15" customHeight="1">
      <c r="A238" s="116"/>
      <c r="B238" s="116"/>
      <c r="C238" s="116"/>
      <c r="D238" s="116"/>
      <c r="E238" s="116"/>
      <c r="F238" s="116"/>
      <c r="G238" s="116"/>
      <c r="H238" s="159">
        <f>SUM(H233:H237)</f>
        <v>12811</v>
      </c>
      <c r="I238" s="116"/>
      <c r="J238" s="116"/>
      <c r="K238" s="116"/>
      <c r="L238" s="116"/>
      <c r="M238" s="116"/>
      <c r="N238" s="116"/>
      <c r="O238" s="116"/>
      <c r="P238" s="116"/>
    </row>
    <row r="239" spans="1:17" ht="11.25">
      <c r="A239" s="116"/>
      <c r="B239" s="116"/>
      <c r="C239" s="116"/>
      <c r="D239" s="116"/>
      <c r="E239" s="116"/>
      <c r="F239" s="116"/>
      <c r="G239" s="116"/>
      <c r="H239" s="159"/>
      <c r="I239" s="116"/>
      <c r="J239" s="116"/>
      <c r="K239" s="116"/>
      <c r="L239" s="116"/>
      <c r="M239" s="116"/>
      <c r="N239" s="116"/>
      <c r="O239" s="116"/>
      <c r="P239" s="116"/>
    </row>
    <row r="240" spans="1:17" s="1" customFormat="1" ht="11.25" customHeight="1">
      <c r="A240" s="194" t="s">
        <v>17</v>
      </c>
      <c r="B240" s="194" t="s">
        <v>19</v>
      </c>
      <c r="C240" s="194" t="s">
        <v>20</v>
      </c>
      <c r="D240" s="206" t="s">
        <v>115</v>
      </c>
      <c r="E240" s="207"/>
      <c r="F240" s="194" t="s">
        <v>23</v>
      </c>
      <c r="G240" s="194" t="s">
        <v>24</v>
      </c>
      <c r="H240" s="195" t="s">
        <v>25</v>
      </c>
      <c r="I240" s="195" t="s">
        <v>18</v>
      </c>
      <c r="J240" s="203" t="s">
        <v>470</v>
      </c>
      <c r="K240" s="167"/>
      <c r="L240" s="167"/>
      <c r="M240" s="167"/>
      <c r="N240" s="167"/>
      <c r="O240" s="167"/>
      <c r="P240" s="203" t="s">
        <v>1115</v>
      </c>
      <c r="Q240" s="7"/>
    </row>
    <row r="241" spans="1:17" s="1" customFormat="1" ht="15" customHeight="1">
      <c r="A241" s="194"/>
      <c r="B241" s="194"/>
      <c r="C241" s="194"/>
      <c r="D241" s="208"/>
      <c r="E241" s="209"/>
      <c r="F241" s="194"/>
      <c r="G241" s="194"/>
      <c r="H241" s="195"/>
      <c r="I241" s="195"/>
      <c r="J241" s="203"/>
      <c r="K241" s="167"/>
      <c r="L241" s="167"/>
      <c r="M241" s="167"/>
      <c r="N241" s="167"/>
      <c r="O241" s="167"/>
      <c r="P241" s="203"/>
    </row>
    <row r="242" spans="1:17" ht="25.5" customHeight="1">
      <c r="A242" s="118" t="s">
        <v>779</v>
      </c>
      <c r="B242" s="119" t="s">
        <v>930</v>
      </c>
      <c r="C242" s="32">
        <v>2</v>
      </c>
      <c r="D242" s="204" t="s">
        <v>947</v>
      </c>
      <c r="E242" s="205"/>
      <c r="F242" s="119" t="s">
        <v>54</v>
      </c>
      <c r="G242" s="32" t="s">
        <v>948</v>
      </c>
      <c r="H242" s="89">
        <f>66.08*1.15</f>
        <v>75.99199999999999</v>
      </c>
      <c r="I242" s="38" t="s">
        <v>1106</v>
      </c>
      <c r="J242" s="32" t="s">
        <v>1043</v>
      </c>
      <c r="K242" s="116"/>
      <c r="L242" s="116"/>
      <c r="M242" s="116"/>
      <c r="N242" s="116"/>
      <c r="O242" s="116"/>
      <c r="P242" s="38" t="s">
        <v>1118</v>
      </c>
      <c r="Q242" s="12"/>
    </row>
    <row r="243" spans="1:17" ht="26.25" customHeight="1">
      <c r="A243" s="118" t="s">
        <v>779</v>
      </c>
      <c r="B243" s="119" t="s">
        <v>931</v>
      </c>
      <c r="C243" s="32">
        <v>2</v>
      </c>
      <c r="D243" s="204" t="s">
        <v>947</v>
      </c>
      <c r="E243" s="205"/>
      <c r="F243" s="119" t="s">
        <v>54</v>
      </c>
      <c r="G243" s="32" t="s">
        <v>948</v>
      </c>
      <c r="H243" s="89">
        <f>34.78*1.15</f>
        <v>39.997</v>
      </c>
      <c r="I243" s="38" t="s">
        <v>1106</v>
      </c>
      <c r="J243" s="32" t="s">
        <v>1043</v>
      </c>
      <c r="K243" s="116"/>
      <c r="L243" s="116"/>
      <c r="M243" s="116"/>
      <c r="N243" s="116"/>
      <c r="O243" s="116"/>
      <c r="P243" s="38" t="s">
        <v>1118</v>
      </c>
    </row>
    <row r="244" spans="1:17" ht="31.5" customHeight="1">
      <c r="A244" s="118" t="s">
        <v>779</v>
      </c>
      <c r="B244" s="119" t="s">
        <v>932</v>
      </c>
      <c r="C244" s="32">
        <v>2</v>
      </c>
      <c r="D244" s="204" t="s">
        <v>947</v>
      </c>
      <c r="E244" s="205"/>
      <c r="F244" s="119" t="s">
        <v>54</v>
      </c>
      <c r="G244" s="32" t="s">
        <v>948</v>
      </c>
      <c r="H244" s="89">
        <f>45.22*1.15</f>
        <v>52.002999999999993</v>
      </c>
      <c r="I244" s="38" t="s">
        <v>1106</v>
      </c>
      <c r="J244" s="32" t="s">
        <v>1043</v>
      </c>
      <c r="K244" s="116"/>
      <c r="L244" s="116"/>
      <c r="M244" s="116"/>
      <c r="N244" s="116"/>
      <c r="O244" s="116"/>
      <c r="P244" s="38" t="s">
        <v>1118</v>
      </c>
    </row>
    <row r="245" spans="1:17" ht="28.5" customHeight="1">
      <c r="A245" s="118" t="s">
        <v>779</v>
      </c>
      <c r="B245" s="119" t="s">
        <v>933</v>
      </c>
      <c r="C245" s="32">
        <v>2</v>
      </c>
      <c r="D245" s="204" t="s">
        <v>947</v>
      </c>
      <c r="E245" s="205"/>
      <c r="F245" s="119" t="s">
        <v>54</v>
      </c>
      <c r="G245" s="32" t="s">
        <v>948</v>
      </c>
      <c r="H245" s="89">
        <f>69.56*1.15</f>
        <v>79.994</v>
      </c>
      <c r="I245" s="38" t="s">
        <v>1106</v>
      </c>
      <c r="J245" s="32" t="s">
        <v>1043</v>
      </c>
      <c r="K245" s="116"/>
      <c r="L245" s="116"/>
      <c r="M245" s="116"/>
      <c r="N245" s="116"/>
      <c r="O245" s="116"/>
      <c r="P245" s="38" t="s">
        <v>1118</v>
      </c>
    </row>
    <row r="246" spans="1:17" ht="31.5" customHeight="1">
      <c r="A246" s="118" t="s">
        <v>779</v>
      </c>
      <c r="B246" s="119" t="s">
        <v>934</v>
      </c>
      <c r="C246" s="32">
        <v>2</v>
      </c>
      <c r="D246" s="204" t="s">
        <v>947</v>
      </c>
      <c r="E246" s="205"/>
      <c r="F246" s="119" t="s">
        <v>54</v>
      </c>
      <c r="G246" s="32" t="s">
        <v>948</v>
      </c>
      <c r="H246" s="89">
        <f>74.44*1.15</f>
        <v>85.605999999999995</v>
      </c>
      <c r="I246" s="38" t="s">
        <v>1106</v>
      </c>
      <c r="J246" s="32" t="s">
        <v>1043</v>
      </c>
      <c r="K246" s="116"/>
      <c r="L246" s="116"/>
      <c r="M246" s="116"/>
      <c r="N246" s="116"/>
      <c r="O246" s="116"/>
      <c r="P246" s="38" t="s">
        <v>1118</v>
      </c>
    </row>
    <row r="247" spans="1:17" ht="33.75" customHeight="1">
      <c r="A247" s="118" t="s">
        <v>779</v>
      </c>
      <c r="B247" s="119" t="s">
        <v>935</v>
      </c>
      <c r="C247" s="32">
        <v>30</v>
      </c>
      <c r="D247" s="204" t="s">
        <v>947</v>
      </c>
      <c r="E247" s="205"/>
      <c r="F247" s="119" t="s">
        <v>54</v>
      </c>
      <c r="G247" s="32" t="s">
        <v>948</v>
      </c>
      <c r="H247" s="89">
        <f>39*1.15</f>
        <v>44.849999999999994</v>
      </c>
      <c r="I247" s="38" t="s">
        <v>1106</v>
      </c>
      <c r="J247" s="32" t="s">
        <v>1043</v>
      </c>
      <c r="K247" s="116"/>
      <c r="L247" s="116"/>
      <c r="M247" s="116"/>
      <c r="N247" s="116"/>
      <c r="O247" s="116"/>
      <c r="P247" s="38" t="s">
        <v>1118</v>
      </c>
    </row>
    <row r="248" spans="1:17" ht="24" customHeight="1">
      <c r="A248" s="118" t="s">
        <v>779</v>
      </c>
      <c r="B248" s="119" t="s">
        <v>936</v>
      </c>
      <c r="C248" s="32">
        <v>30</v>
      </c>
      <c r="D248" s="204" t="s">
        <v>947</v>
      </c>
      <c r="E248" s="205"/>
      <c r="F248" s="119" t="s">
        <v>54</v>
      </c>
      <c r="G248" s="32" t="s">
        <v>948</v>
      </c>
      <c r="H248" s="89">
        <f>39*1.15</f>
        <v>44.849999999999994</v>
      </c>
      <c r="I248" s="38" t="s">
        <v>1106</v>
      </c>
      <c r="J248" s="32" t="s">
        <v>1043</v>
      </c>
      <c r="K248" s="116"/>
      <c r="L248" s="116"/>
      <c r="M248" s="116"/>
      <c r="N248" s="116"/>
      <c r="O248" s="116"/>
      <c r="P248" s="38" t="s">
        <v>1118</v>
      </c>
    </row>
    <row r="249" spans="1:17" ht="23.25" customHeight="1">
      <c r="A249" s="118" t="s">
        <v>779</v>
      </c>
      <c r="B249" s="119" t="s">
        <v>937</v>
      </c>
      <c r="C249" s="32">
        <v>30</v>
      </c>
      <c r="D249" s="204" t="s">
        <v>947</v>
      </c>
      <c r="E249" s="205"/>
      <c r="F249" s="119" t="s">
        <v>54</v>
      </c>
      <c r="G249" s="32" t="s">
        <v>948</v>
      </c>
      <c r="H249" s="89">
        <f>47.1*1.15</f>
        <v>54.164999999999999</v>
      </c>
      <c r="I249" s="38" t="s">
        <v>1106</v>
      </c>
      <c r="J249" s="32" t="s">
        <v>1043</v>
      </c>
      <c r="K249" s="116"/>
      <c r="L249" s="116"/>
      <c r="M249" s="116"/>
      <c r="N249" s="116"/>
      <c r="O249" s="116"/>
      <c r="P249" s="38" t="s">
        <v>1118</v>
      </c>
    </row>
    <row r="250" spans="1:17" ht="25.5" customHeight="1">
      <c r="A250" s="118" t="s">
        <v>779</v>
      </c>
      <c r="B250" s="119" t="s">
        <v>938</v>
      </c>
      <c r="C250" s="32">
        <v>30</v>
      </c>
      <c r="D250" s="204" t="s">
        <v>947</v>
      </c>
      <c r="E250" s="205"/>
      <c r="F250" s="119" t="s">
        <v>54</v>
      </c>
      <c r="G250" s="32" t="s">
        <v>948</v>
      </c>
      <c r="H250" s="89">
        <f>109.5*1.15</f>
        <v>125.925</v>
      </c>
      <c r="I250" s="38" t="s">
        <v>1106</v>
      </c>
      <c r="J250" s="32" t="s">
        <v>1043</v>
      </c>
      <c r="K250" s="116"/>
      <c r="L250" s="116"/>
      <c r="M250" s="116"/>
      <c r="N250" s="116"/>
      <c r="O250" s="116"/>
      <c r="P250" s="38" t="s">
        <v>1118</v>
      </c>
    </row>
    <row r="251" spans="1:17" ht="33.75" customHeight="1">
      <c r="A251" s="118" t="s">
        <v>779</v>
      </c>
      <c r="B251" s="119" t="s">
        <v>939</v>
      </c>
      <c r="C251" s="32">
        <v>5</v>
      </c>
      <c r="D251" s="204" t="s">
        <v>947</v>
      </c>
      <c r="E251" s="205"/>
      <c r="F251" s="119" t="s">
        <v>54</v>
      </c>
      <c r="G251" s="32" t="s">
        <v>948</v>
      </c>
      <c r="H251" s="89">
        <f>173.9*1.15</f>
        <v>199.98499999999999</v>
      </c>
      <c r="I251" s="38" t="s">
        <v>1106</v>
      </c>
      <c r="J251" s="32" t="s">
        <v>1043</v>
      </c>
      <c r="K251" s="116"/>
      <c r="L251" s="116"/>
      <c r="M251" s="116"/>
      <c r="N251" s="116"/>
      <c r="O251" s="116"/>
      <c r="P251" s="38" t="s">
        <v>1118</v>
      </c>
    </row>
    <row r="252" spans="1:17" ht="26.25" customHeight="1">
      <c r="A252" s="118" t="s">
        <v>779</v>
      </c>
      <c r="B252" s="119" t="s">
        <v>940</v>
      </c>
      <c r="C252" s="32">
        <v>2</v>
      </c>
      <c r="D252" s="204" t="s">
        <v>947</v>
      </c>
      <c r="E252" s="205"/>
      <c r="F252" s="119" t="s">
        <v>54</v>
      </c>
      <c r="G252" s="32" t="s">
        <v>948</v>
      </c>
      <c r="H252" s="89">
        <f>321.74*1.15</f>
        <v>370.00099999999998</v>
      </c>
      <c r="I252" s="38" t="s">
        <v>1106</v>
      </c>
      <c r="J252" s="32" t="s">
        <v>1043</v>
      </c>
      <c r="K252" s="116"/>
      <c r="L252" s="116"/>
      <c r="M252" s="116"/>
      <c r="N252" s="116"/>
      <c r="O252" s="116"/>
      <c r="P252" s="38" t="s">
        <v>1118</v>
      </c>
    </row>
    <row r="253" spans="1:17" ht="23.25" customHeight="1">
      <c r="A253" s="118" t="s">
        <v>779</v>
      </c>
      <c r="B253" s="119" t="s">
        <v>941</v>
      </c>
      <c r="C253" s="32">
        <v>6</v>
      </c>
      <c r="D253" s="204" t="s">
        <v>947</v>
      </c>
      <c r="E253" s="205"/>
      <c r="F253" s="119" t="s">
        <v>54</v>
      </c>
      <c r="G253" s="32" t="s">
        <v>948</v>
      </c>
      <c r="H253" s="89">
        <f>125.22*1.15</f>
        <v>144.00299999999999</v>
      </c>
      <c r="I253" s="38" t="s">
        <v>1106</v>
      </c>
      <c r="J253" s="32" t="s">
        <v>1043</v>
      </c>
      <c r="K253" s="116"/>
      <c r="L253" s="116"/>
      <c r="M253" s="116"/>
      <c r="N253" s="116"/>
      <c r="O253" s="116"/>
      <c r="P253" s="38" t="s">
        <v>1118</v>
      </c>
    </row>
    <row r="254" spans="1:17" ht="28.5" customHeight="1">
      <c r="A254" s="118" t="s">
        <v>779</v>
      </c>
      <c r="B254" s="119" t="s">
        <v>942</v>
      </c>
      <c r="C254" s="32">
        <v>5</v>
      </c>
      <c r="D254" s="204" t="s">
        <v>947</v>
      </c>
      <c r="E254" s="205"/>
      <c r="F254" s="119" t="s">
        <v>54</v>
      </c>
      <c r="G254" s="32" t="s">
        <v>948</v>
      </c>
      <c r="H254" s="89">
        <f>413.05*1.15</f>
        <v>475.00749999999999</v>
      </c>
      <c r="I254" s="38" t="s">
        <v>1106</v>
      </c>
      <c r="J254" s="32" t="s">
        <v>1043</v>
      </c>
      <c r="K254" s="116"/>
      <c r="L254" s="116"/>
      <c r="M254" s="116"/>
      <c r="N254" s="116"/>
      <c r="O254" s="116"/>
      <c r="P254" s="38" t="s">
        <v>1118</v>
      </c>
    </row>
    <row r="255" spans="1:17" ht="30" customHeight="1">
      <c r="A255" s="118" t="s">
        <v>779</v>
      </c>
      <c r="B255" s="119" t="s">
        <v>943</v>
      </c>
      <c r="C255" s="32">
        <v>12</v>
      </c>
      <c r="D255" s="204" t="s">
        <v>947</v>
      </c>
      <c r="E255" s="205"/>
      <c r="F255" s="119" t="s">
        <v>54</v>
      </c>
      <c r="G255" s="32" t="s">
        <v>948</v>
      </c>
      <c r="H255" s="89">
        <f>15.6*1.15</f>
        <v>17.939999999999998</v>
      </c>
      <c r="I255" s="38" t="s">
        <v>1106</v>
      </c>
      <c r="J255" s="32" t="s">
        <v>1043</v>
      </c>
      <c r="K255" s="116"/>
      <c r="L255" s="116"/>
      <c r="M255" s="116"/>
      <c r="N255" s="116"/>
      <c r="O255" s="116"/>
      <c r="P255" s="38" t="s">
        <v>1118</v>
      </c>
    </row>
    <row r="256" spans="1:17" ht="28.5" customHeight="1">
      <c r="A256" s="118" t="s">
        <v>779</v>
      </c>
      <c r="B256" s="119" t="s">
        <v>163</v>
      </c>
      <c r="C256" s="32">
        <v>5</v>
      </c>
      <c r="D256" s="204" t="s">
        <v>947</v>
      </c>
      <c r="E256" s="205"/>
      <c r="F256" s="119" t="s">
        <v>54</v>
      </c>
      <c r="G256" s="32" t="s">
        <v>948</v>
      </c>
      <c r="H256" s="89">
        <f>295.63*1.15</f>
        <v>339.97449999999998</v>
      </c>
      <c r="I256" s="38" t="s">
        <v>1106</v>
      </c>
      <c r="J256" s="32" t="s">
        <v>1043</v>
      </c>
      <c r="K256" s="116"/>
      <c r="L256" s="116"/>
      <c r="M256" s="116"/>
      <c r="N256" s="116"/>
      <c r="O256" s="116"/>
      <c r="P256" s="38" t="s">
        <v>1118</v>
      </c>
    </row>
    <row r="257" spans="1:17" ht="30.75" customHeight="1">
      <c r="A257" s="118" t="s">
        <v>779</v>
      </c>
      <c r="B257" s="119" t="s">
        <v>944</v>
      </c>
      <c r="C257" s="32">
        <v>4</v>
      </c>
      <c r="D257" s="204" t="s">
        <v>947</v>
      </c>
      <c r="E257" s="205"/>
      <c r="F257" s="119" t="s">
        <v>54</v>
      </c>
      <c r="G257" s="32" t="s">
        <v>948</v>
      </c>
      <c r="H257" s="89">
        <f>132.16*1.15</f>
        <v>151.98399999999998</v>
      </c>
      <c r="I257" s="38" t="s">
        <v>1106</v>
      </c>
      <c r="J257" s="32" t="s">
        <v>1043</v>
      </c>
      <c r="K257" s="116"/>
      <c r="L257" s="116"/>
      <c r="M257" s="116"/>
      <c r="N257" s="116"/>
      <c r="O257" s="116"/>
      <c r="P257" s="38" t="s">
        <v>1118</v>
      </c>
    </row>
    <row r="258" spans="1:17" s="1" customFormat="1" ht="158.25" customHeight="1">
      <c r="A258" s="118" t="s">
        <v>779</v>
      </c>
      <c r="B258" s="119" t="s">
        <v>945</v>
      </c>
      <c r="C258" s="32">
        <v>5</v>
      </c>
      <c r="D258" s="204" t="s">
        <v>947</v>
      </c>
      <c r="E258" s="205"/>
      <c r="F258" s="119" t="s">
        <v>54</v>
      </c>
      <c r="G258" s="32" t="s">
        <v>948</v>
      </c>
      <c r="H258" s="89">
        <f>4339.15*1.15</f>
        <v>4990.0224999999991</v>
      </c>
      <c r="I258" s="38" t="s">
        <v>1065</v>
      </c>
      <c r="J258" s="119" t="s">
        <v>1045</v>
      </c>
      <c r="K258" s="150"/>
      <c r="L258" s="150"/>
      <c r="M258" s="150"/>
      <c r="N258" s="150"/>
      <c r="O258" s="150"/>
      <c r="P258" s="115" t="s">
        <v>1111</v>
      </c>
    </row>
    <row r="259" spans="1:17" s="1" customFormat="1" ht="24.75" customHeight="1">
      <c r="A259" s="118" t="s">
        <v>779</v>
      </c>
      <c r="B259" s="119" t="s">
        <v>946</v>
      </c>
      <c r="C259" s="32">
        <v>4</v>
      </c>
      <c r="D259" s="204" t="s">
        <v>947</v>
      </c>
      <c r="E259" s="205"/>
      <c r="F259" s="119" t="s">
        <v>54</v>
      </c>
      <c r="G259" s="32" t="s">
        <v>948</v>
      </c>
      <c r="H259" s="89">
        <f>236.52*1.15</f>
        <v>271.99799999999999</v>
      </c>
      <c r="I259" s="38" t="s">
        <v>1106</v>
      </c>
      <c r="J259" s="32" t="s">
        <v>1043</v>
      </c>
      <c r="K259" s="150"/>
      <c r="L259" s="150"/>
      <c r="M259" s="150"/>
      <c r="N259" s="150"/>
      <c r="O259" s="150"/>
      <c r="P259" s="38" t="s">
        <v>1118</v>
      </c>
    </row>
    <row r="260" spans="1:17" ht="11.25">
      <c r="A260" s="116"/>
      <c r="B260" s="116"/>
      <c r="C260" s="116"/>
      <c r="D260" s="204"/>
      <c r="E260" s="205"/>
      <c r="F260" s="116"/>
      <c r="G260" s="116"/>
      <c r="H260" s="159">
        <f>SUM(H242:H259)</f>
        <v>7564.2974999999988</v>
      </c>
      <c r="I260" s="116"/>
      <c r="J260" s="116"/>
      <c r="K260" s="116"/>
      <c r="L260" s="116"/>
      <c r="M260" s="116"/>
      <c r="N260" s="116"/>
      <c r="O260" s="116"/>
      <c r="P260" s="116"/>
    </row>
    <row r="261" spans="1:17" ht="11.25">
      <c r="A261" s="116"/>
      <c r="B261" s="116"/>
      <c r="C261" s="116"/>
      <c r="D261" s="204"/>
      <c r="E261" s="205"/>
      <c r="F261" s="116"/>
      <c r="G261" s="116"/>
      <c r="H261" s="159"/>
      <c r="I261" s="116"/>
      <c r="J261" s="116"/>
      <c r="K261" s="116"/>
      <c r="L261" s="116"/>
      <c r="M261" s="116"/>
      <c r="N261" s="116"/>
      <c r="O261" s="116"/>
      <c r="P261" s="116"/>
    </row>
    <row r="262" spans="1:17" s="1" customFormat="1" ht="11.25" customHeight="1">
      <c r="A262" s="194" t="s">
        <v>17</v>
      </c>
      <c r="B262" s="194" t="s">
        <v>19</v>
      </c>
      <c r="C262" s="194" t="s">
        <v>20</v>
      </c>
      <c r="D262" s="206" t="s">
        <v>115</v>
      </c>
      <c r="E262" s="207"/>
      <c r="F262" s="194" t="s">
        <v>23</v>
      </c>
      <c r="G262" s="194" t="s">
        <v>24</v>
      </c>
      <c r="H262" s="195" t="s">
        <v>25</v>
      </c>
      <c r="I262" s="195" t="s">
        <v>18</v>
      </c>
      <c r="J262" s="203" t="s">
        <v>470</v>
      </c>
      <c r="K262" s="167"/>
      <c r="L262" s="167"/>
      <c r="M262" s="167"/>
      <c r="N262" s="167"/>
      <c r="O262" s="167"/>
      <c r="P262" s="203" t="s">
        <v>1115</v>
      </c>
      <c r="Q262" s="7"/>
    </row>
    <row r="263" spans="1:17" s="1" customFormat="1" ht="15" customHeight="1">
      <c r="A263" s="194"/>
      <c r="B263" s="194"/>
      <c r="C263" s="194"/>
      <c r="D263" s="208"/>
      <c r="E263" s="209"/>
      <c r="F263" s="194"/>
      <c r="G263" s="194"/>
      <c r="H263" s="195"/>
      <c r="I263" s="195"/>
      <c r="J263" s="203"/>
      <c r="K263" s="167"/>
      <c r="L263" s="167"/>
      <c r="M263" s="167"/>
      <c r="N263" s="167"/>
      <c r="O263" s="167"/>
      <c r="P263" s="203"/>
    </row>
    <row r="264" spans="1:17" ht="12">
      <c r="A264" s="118" t="s">
        <v>779</v>
      </c>
      <c r="B264" s="119" t="s">
        <v>950</v>
      </c>
      <c r="C264" s="32">
        <v>50</v>
      </c>
      <c r="D264" s="204" t="s">
        <v>947</v>
      </c>
      <c r="E264" s="205"/>
      <c r="F264" s="119" t="s">
        <v>54</v>
      </c>
      <c r="G264" s="32" t="s">
        <v>951</v>
      </c>
      <c r="H264" s="89">
        <f>295.5*1.15</f>
        <v>339.82499999999999</v>
      </c>
      <c r="I264" s="38" t="s">
        <v>1106</v>
      </c>
      <c r="J264" s="32" t="s">
        <v>1043</v>
      </c>
      <c r="K264" s="116"/>
      <c r="L264" s="116"/>
      <c r="M264" s="116"/>
      <c r="N264" s="116"/>
      <c r="O264" s="116"/>
      <c r="P264" s="38" t="s">
        <v>1118</v>
      </c>
      <c r="Q264" s="12"/>
    </row>
    <row r="265" spans="1:17" ht="12">
      <c r="A265" s="118" t="s">
        <v>779</v>
      </c>
      <c r="B265" s="119" t="s">
        <v>952</v>
      </c>
      <c r="C265" s="32">
        <v>1</v>
      </c>
      <c r="D265" s="204" t="s">
        <v>947</v>
      </c>
      <c r="E265" s="205"/>
      <c r="F265" s="119" t="s">
        <v>54</v>
      </c>
      <c r="G265" s="32" t="s">
        <v>951</v>
      </c>
      <c r="H265" s="89">
        <f>73.91*1.15</f>
        <v>84.996499999999983</v>
      </c>
      <c r="I265" s="38" t="s">
        <v>1106</v>
      </c>
      <c r="J265" s="32" t="s">
        <v>1043</v>
      </c>
      <c r="K265" s="116"/>
      <c r="L265" s="116"/>
      <c r="M265" s="116"/>
      <c r="N265" s="116"/>
      <c r="O265" s="116"/>
      <c r="P265" s="38" t="s">
        <v>1118</v>
      </c>
    </row>
    <row r="266" spans="1:17" ht="12">
      <c r="A266" s="118" t="s">
        <v>779</v>
      </c>
      <c r="B266" s="119" t="s">
        <v>953</v>
      </c>
      <c r="C266" s="32">
        <v>1</v>
      </c>
      <c r="D266" s="204" t="s">
        <v>947</v>
      </c>
      <c r="E266" s="205"/>
      <c r="F266" s="119" t="s">
        <v>54</v>
      </c>
      <c r="G266" s="32" t="s">
        <v>951</v>
      </c>
      <c r="H266" s="89">
        <f>67.83*1.15</f>
        <v>78.004499999999993</v>
      </c>
      <c r="I266" s="38" t="s">
        <v>1106</v>
      </c>
      <c r="J266" s="32" t="s">
        <v>1043</v>
      </c>
      <c r="K266" s="116"/>
      <c r="L266" s="116"/>
      <c r="M266" s="116"/>
      <c r="N266" s="116"/>
      <c r="O266" s="116"/>
      <c r="P266" s="38" t="s">
        <v>1118</v>
      </c>
    </row>
    <row r="267" spans="1:17" ht="12">
      <c r="A267" s="118" t="s">
        <v>779</v>
      </c>
      <c r="B267" s="119" t="s">
        <v>954</v>
      </c>
      <c r="C267" s="32">
        <v>1</v>
      </c>
      <c r="D267" s="204" t="s">
        <v>947</v>
      </c>
      <c r="E267" s="205"/>
      <c r="F267" s="119" t="s">
        <v>54</v>
      </c>
      <c r="G267" s="32" t="s">
        <v>951</v>
      </c>
      <c r="H267" s="89">
        <f>56.52*1.15</f>
        <v>64.998000000000005</v>
      </c>
      <c r="I267" s="38" t="s">
        <v>1106</v>
      </c>
      <c r="J267" s="32" t="s">
        <v>1043</v>
      </c>
      <c r="K267" s="116"/>
      <c r="L267" s="116"/>
      <c r="M267" s="116"/>
      <c r="N267" s="116"/>
      <c r="O267" s="116"/>
      <c r="P267" s="38" t="s">
        <v>1118</v>
      </c>
    </row>
    <row r="268" spans="1:17" ht="12">
      <c r="A268" s="118" t="s">
        <v>779</v>
      </c>
      <c r="B268" s="119" t="s">
        <v>955</v>
      </c>
      <c r="C268" s="32">
        <v>1</v>
      </c>
      <c r="D268" s="204" t="s">
        <v>947</v>
      </c>
      <c r="E268" s="205"/>
      <c r="F268" s="119" t="s">
        <v>54</v>
      </c>
      <c r="G268" s="32" t="s">
        <v>951</v>
      </c>
      <c r="H268" s="89">
        <f>311.3*1.15</f>
        <v>357.995</v>
      </c>
      <c r="I268" s="38" t="s">
        <v>1106</v>
      </c>
      <c r="J268" s="32" t="s">
        <v>1043</v>
      </c>
      <c r="K268" s="116"/>
      <c r="L268" s="116"/>
      <c r="M268" s="116"/>
      <c r="N268" s="116"/>
      <c r="O268" s="116"/>
      <c r="P268" s="38" t="s">
        <v>1118</v>
      </c>
    </row>
    <row r="269" spans="1:17" ht="12">
      <c r="A269" s="118" t="s">
        <v>779</v>
      </c>
      <c r="B269" s="119" t="s">
        <v>956</v>
      </c>
      <c r="C269" s="32">
        <v>3</v>
      </c>
      <c r="D269" s="204" t="s">
        <v>947</v>
      </c>
      <c r="E269" s="205"/>
      <c r="F269" s="119" t="s">
        <v>54</v>
      </c>
      <c r="G269" s="32" t="s">
        <v>951</v>
      </c>
      <c r="H269" s="89">
        <f>229.56*1.15</f>
        <v>263.99399999999997</v>
      </c>
      <c r="I269" s="38" t="s">
        <v>1106</v>
      </c>
      <c r="J269" s="32" t="s">
        <v>1043</v>
      </c>
      <c r="K269" s="116"/>
      <c r="L269" s="116"/>
      <c r="M269" s="116"/>
      <c r="N269" s="116"/>
      <c r="O269" s="116"/>
      <c r="P269" s="38" t="s">
        <v>1118</v>
      </c>
    </row>
    <row r="270" spans="1:17" ht="12">
      <c r="A270" s="118" t="s">
        <v>779</v>
      </c>
      <c r="B270" s="119" t="s">
        <v>957</v>
      </c>
      <c r="C270" s="32">
        <v>2</v>
      </c>
      <c r="D270" s="204" t="s">
        <v>947</v>
      </c>
      <c r="E270" s="205"/>
      <c r="F270" s="119" t="s">
        <v>54</v>
      </c>
      <c r="G270" s="32" t="s">
        <v>951</v>
      </c>
      <c r="H270" s="89">
        <f>1339.14*1.15</f>
        <v>1540.011</v>
      </c>
      <c r="I270" s="38" t="s">
        <v>1106</v>
      </c>
      <c r="J270" s="32" t="s">
        <v>1043</v>
      </c>
      <c r="K270" s="116"/>
      <c r="L270" s="116"/>
      <c r="M270" s="116"/>
      <c r="N270" s="116"/>
      <c r="O270" s="116"/>
      <c r="P270" s="38" t="s">
        <v>1118</v>
      </c>
    </row>
    <row r="271" spans="1:17" ht="12">
      <c r="A271" s="118" t="s">
        <v>779</v>
      </c>
      <c r="B271" s="119" t="s">
        <v>958</v>
      </c>
      <c r="C271" s="32">
        <v>5</v>
      </c>
      <c r="D271" s="204" t="s">
        <v>947</v>
      </c>
      <c r="E271" s="205"/>
      <c r="F271" s="119" t="s">
        <v>54</v>
      </c>
      <c r="G271" s="32" t="s">
        <v>951</v>
      </c>
      <c r="H271" s="89">
        <f>730*1.15</f>
        <v>839.49999999999989</v>
      </c>
      <c r="I271" s="38" t="s">
        <v>1106</v>
      </c>
      <c r="J271" s="32" t="s">
        <v>1043</v>
      </c>
      <c r="K271" s="116"/>
      <c r="L271" s="116"/>
      <c r="M271" s="116"/>
      <c r="N271" s="116"/>
      <c r="O271" s="116"/>
      <c r="P271" s="38" t="s">
        <v>1118</v>
      </c>
    </row>
    <row r="272" spans="1:17" ht="12">
      <c r="A272" s="118" t="s">
        <v>779</v>
      </c>
      <c r="B272" s="119" t="s">
        <v>959</v>
      </c>
      <c r="C272" s="32">
        <v>10</v>
      </c>
      <c r="D272" s="204" t="s">
        <v>947</v>
      </c>
      <c r="E272" s="205"/>
      <c r="F272" s="119" t="s">
        <v>54</v>
      </c>
      <c r="G272" s="32" t="s">
        <v>951</v>
      </c>
      <c r="H272" s="89">
        <f>173.9*1.15</f>
        <v>199.98499999999999</v>
      </c>
      <c r="I272" s="38" t="s">
        <v>1106</v>
      </c>
      <c r="J272" s="32" t="s">
        <v>1043</v>
      </c>
      <c r="K272" s="116"/>
      <c r="L272" s="116"/>
      <c r="M272" s="116"/>
      <c r="N272" s="116"/>
      <c r="O272" s="116"/>
      <c r="P272" s="38" t="s">
        <v>1118</v>
      </c>
    </row>
    <row r="273" spans="1:16" ht="12">
      <c r="A273" s="118" t="s">
        <v>779</v>
      </c>
      <c r="B273" s="119" t="s">
        <v>960</v>
      </c>
      <c r="C273" s="32">
        <v>100</v>
      </c>
      <c r="D273" s="204" t="s">
        <v>947</v>
      </c>
      <c r="E273" s="205"/>
      <c r="F273" s="119" t="s">
        <v>54</v>
      </c>
      <c r="G273" s="32" t="s">
        <v>951</v>
      </c>
      <c r="H273" s="89">
        <f>348*1.15</f>
        <v>400.2</v>
      </c>
      <c r="I273" s="38" t="s">
        <v>1106</v>
      </c>
      <c r="J273" s="32" t="s">
        <v>1043</v>
      </c>
      <c r="K273" s="116"/>
      <c r="L273" s="116"/>
      <c r="M273" s="116"/>
      <c r="N273" s="116"/>
      <c r="O273" s="116"/>
      <c r="P273" s="38" t="s">
        <v>1118</v>
      </c>
    </row>
    <row r="274" spans="1:16" ht="12">
      <c r="A274" s="118" t="s">
        <v>779</v>
      </c>
      <c r="B274" s="119" t="s">
        <v>961</v>
      </c>
      <c r="C274" s="32">
        <v>10</v>
      </c>
      <c r="D274" s="204" t="s">
        <v>947</v>
      </c>
      <c r="E274" s="205"/>
      <c r="F274" s="119" t="s">
        <v>54</v>
      </c>
      <c r="G274" s="32" t="s">
        <v>951</v>
      </c>
      <c r="H274" s="89">
        <f>43.5*1.15</f>
        <v>50.024999999999999</v>
      </c>
      <c r="I274" s="38" t="s">
        <v>1106</v>
      </c>
      <c r="J274" s="32" t="s">
        <v>1043</v>
      </c>
      <c r="K274" s="116"/>
      <c r="L274" s="116"/>
      <c r="M274" s="116"/>
      <c r="N274" s="116"/>
      <c r="O274" s="116"/>
      <c r="P274" s="38" t="s">
        <v>1118</v>
      </c>
    </row>
    <row r="275" spans="1:16" ht="12">
      <c r="A275" s="118" t="s">
        <v>779</v>
      </c>
      <c r="B275" s="119" t="s">
        <v>962</v>
      </c>
      <c r="C275" s="32">
        <v>2</v>
      </c>
      <c r="D275" s="204" t="s">
        <v>947</v>
      </c>
      <c r="E275" s="205"/>
      <c r="F275" s="119" t="s">
        <v>54</v>
      </c>
      <c r="G275" s="32" t="s">
        <v>951</v>
      </c>
      <c r="H275" s="89">
        <f>66.08*1.15</f>
        <v>75.99199999999999</v>
      </c>
      <c r="I275" s="38" t="s">
        <v>1106</v>
      </c>
      <c r="J275" s="32" t="s">
        <v>1043</v>
      </c>
      <c r="K275" s="116"/>
      <c r="L275" s="116"/>
      <c r="M275" s="116"/>
      <c r="N275" s="116"/>
      <c r="O275" s="116"/>
      <c r="P275" s="38" t="s">
        <v>1118</v>
      </c>
    </row>
    <row r="276" spans="1:16" ht="12">
      <c r="A276" s="118" t="s">
        <v>779</v>
      </c>
      <c r="B276" s="119" t="s">
        <v>963</v>
      </c>
      <c r="C276" s="32">
        <v>50</v>
      </c>
      <c r="D276" s="204" t="s">
        <v>947</v>
      </c>
      <c r="E276" s="205"/>
      <c r="F276" s="119" t="s">
        <v>54</v>
      </c>
      <c r="G276" s="32" t="s">
        <v>951</v>
      </c>
      <c r="H276" s="89">
        <f>339*1.15</f>
        <v>389.84999999999997</v>
      </c>
      <c r="I276" s="38" t="s">
        <v>1106</v>
      </c>
      <c r="J276" s="32" t="s">
        <v>1043</v>
      </c>
      <c r="K276" s="116"/>
      <c r="L276" s="116"/>
      <c r="M276" s="116"/>
      <c r="N276" s="116"/>
      <c r="O276" s="116"/>
      <c r="P276" s="38" t="s">
        <v>1118</v>
      </c>
    </row>
    <row r="277" spans="1:16" ht="12">
      <c r="A277" s="118" t="s">
        <v>779</v>
      </c>
      <c r="B277" s="119" t="s">
        <v>964</v>
      </c>
      <c r="C277" s="32">
        <v>50</v>
      </c>
      <c r="D277" s="204" t="s">
        <v>947</v>
      </c>
      <c r="E277" s="205"/>
      <c r="F277" s="119" t="s">
        <v>54</v>
      </c>
      <c r="G277" s="32" t="s">
        <v>951</v>
      </c>
      <c r="H277" s="89">
        <f>391.5*1.15</f>
        <v>450.22499999999997</v>
      </c>
      <c r="I277" s="38" t="s">
        <v>1106</v>
      </c>
      <c r="J277" s="32" t="s">
        <v>1043</v>
      </c>
      <c r="K277" s="116"/>
      <c r="L277" s="116"/>
      <c r="M277" s="116"/>
      <c r="N277" s="116"/>
      <c r="O277" s="116"/>
      <c r="P277" s="38" t="s">
        <v>1118</v>
      </c>
    </row>
    <row r="278" spans="1:16" ht="12">
      <c r="A278" s="118" t="s">
        <v>779</v>
      </c>
      <c r="B278" s="119" t="s">
        <v>965</v>
      </c>
      <c r="C278" s="32">
        <v>50</v>
      </c>
      <c r="D278" s="204" t="s">
        <v>947</v>
      </c>
      <c r="E278" s="205"/>
      <c r="F278" s="119" t="s">
        <v>54</v>
      </c>
      <c r="G278" s="32" t="s">
        <v>951</v>
      </c>
      <c r="H278" s="89">
        <f>151.5*1.15</f>
        <v>174.22499999999999</v>
      </c>
      <c r="I278" s="38" t="s">
        <v>1106</v>
      </c>
      <c r="J278" s="32" t="s">
        <v>1043</v>
      </c>
      <c r="K278" s="116"/>
      <c r="L278" s="116"/>
      <c r="M278" s="116"/>
      <c r="N278" s="116"/>
      <c r="O278" s="116"/>
      <c r="P278" s="38" t="s">
        <v>1118</v>
      </c>
    </row>
    <row r="279" spans="1:16" ht="12">
      <c r="A279" s="118" t="s">
        <v>779</v>
      </c>
      <c r="B279" s="119" t="s">
        <v>966</v>
      </c>
      <c r="C279" s="32">
        <v>1</v>
      </c>
      <c r="D279" s="204" t="s">
        <v>947</v>
      </c>
      <c r="E279" s="205"/>
      <c r="F279" s="119" t="s">
        <v>54</v>
      </c>
      <c r="G279" s="32" t="s">
        <v>951</v>
      </c>
      <c r="H279" s="89">
        <f>1434.78*1.15</f>
        <v>1649.9969999999998</v>
      </c>
      <c r="I279" s="38" t="s">
        <v>1106</v>
      </c>
      <c r="J279" s="32" t="s">
        <v>1043</v>
      </c>
      <c r="K279" s="116"/>
      <c r="L279" s="116"/>
      <c r="M279" s="116"/>
      <c r="N279" s="116"/>
      <c r="O279" s="116"/>
      <c r="P279" s="38" t="s">
        <v>1118</v>
      </c>
    </row>
    <row r="280" spans="1:16" ht="12">
      <c r="A280" s="118" t="s">
        <v>779</v>
      </c>
      <c r="B280" s="119" t="s">
        <v>967</v>
      </c>
      <c r="C280" s="32">
        <v>3</v>
      </c>
      <c r="D280" s="204" t="s">
        <v>947</v>
      </c>
      <c r="E280" s="205"/>
      <c r="F280" s="119" t="s">
        <v>54</v>
      </c>
      <c r="G280" s="32" t="s">
        <v>951</v>
      </c>
      <c r="H280" s="89">
        <f>73.05*1.15</f>
        <v>84.007499999999993</v>
      </c>
      <c r="I280" s="38" t="s">
        <v>1106</v>
      </c>
      <c r="J280" s="32" t="s">
        <v>1043</v>
      </c>
      <c r="K280" s="116"/>
      <c r="L280" s="116"/>
      <c r="M280" s="116"/>
      <c r="N280" s="116"/>
      <c r="O280" s="116"/>
      <c r="P280" s="38" t="s">
        <v>1118</v>
      </c>
    </row>
    <row r="281" spans="1:16" ht="12">
      <c r="A281" s="118" t="s">
        <v>779</v>
      </c>
      <c r="B281" s="119" t="s">
        <v>968</v>
      </c>
      <c r="C281" s="32">
        <v>1</v>
      </c>
      <c r="D281" s="204" t="s">
        <v>947</v>
      </c>
      <c r="E281" s="205"/>
      <c r="F281" s="119" t="s">
        <v>54</v>
      </c>
      <c r="G281" s="32" t="s">
        <v>951</v>
      </c>
      <c r="H281" s="89">
        <f>330.43*1.15</f>
        <v>379.99449999999996</v>
      </c>
      <c r="I281" s="38" t="s">
        <v>1106</v>
      </c>
      <c r="J281" s="32" t="s">
        <v>1043</v>
      </c>
      <c r="K281" s="116"/>
      <c r="L281" s="116"/>
      <c r="M281" s="116"/>
      <c r="N281" s="116"/>
      <c r="O281" s="116"/>
      <c r="P281" s="38" t="s">
        <v>1118</v>
      </c>
    </row>
    <row r="282" spans="1:16" ht="12">
      <c r="A282" s="118" t="s">
        <v>779</v>
      </c>
      <c r="B282" s="119" t="s">
        <v>969</v>
      </c>
      <c r="C282" s="32">
        <v>3</v>
      </c>
      <c r="D282" s="204" t="s">
        <v>947</v>
      </c>
      <c r="E282" s="205"/>
      <c r="F282" s="119" t="s">
        <v>54</v>
      </c>
      <c r="G282" s="32" t="s">
        <v>951</v>
      </c>
      <c r="H282" s="89">
        <f>988.71*1.15</f>
        <v>1137.0165</v>
      </c>
      <c r="I282" s="38" t="s">
        <v>1106</v>
      </c>
      <c r="J282" s="32" t="s">
        <v>1043</v>
      </c>
      <c r="K282" s="116"/>
      <c r="L282" s="116"/>
      <c r="M282" s="116"/>
      <c r="N282" s="116"/>
      <c r="O282" s="116"/>
      <c r="P282" s="38" t="s">
        <v>1118</v>
      </c>
    </row>
    <row r="283" spans="1:16" ht="12">
      <c r="A283" s="118" t="s">
        <v>779</v>
      </c>
      <c r="B283" s="119" t="s">
        <v>970</v>
      </c>
      <c r="C283" s="32">
        <v>5</v>
      </c>
      <c r="D283" s="204" t="s">
        <v>947</v>
      </c>
      <c r="E283" s="205"/>
      <c r="F283" s="119" t="s">
        <v>54</v>
      </c>
      <c r="G283" s="32" t="s">
        <v>951</v>
      </c>
      <c r="H283" s="89">
        <f>339.15*1.15</f>
        <v>390.02249999999992</v>
      </c>
      <c r="I283" s="38" t="s">
        <v>1106</v>
      </c>
      <c r="J283" s="32" t="s">
        <v>1043</v>
      </c>
      <c r="K283" s="116"/>
      <c r="L283" s="116"/>
      <c r="M283" s="116"/>
      <c r="N283" s="116"/>
      <c r="O283" s="116"/>
      <c r="P283" s="38" t="s">
        <v>1118</v>
      </c>
    </row>
    <row r="284" spans="1:16" ht="12">
      <c r="A284" s="118" t="s">
        <v>779</v>
      </c>
      <c r="B284" s="119" t="s">
        <v>971</v>
      </c>
      <c r="C284" s="32">
        <v>1</v>
      </c>
      <c r="D284" s="204" t="s">
        <v>947</v>
      </c>
      <c r="E284" s="205"/>
      <c r="F284" s="119" t="s">
        <v>54</v>
      </c>
      <c r="G284" s="32" t="s">
        <v>951</v>
      </c>
      <c r="H284" s="89">
        <f>189.57*1.15</f>
        <v>218.00549999999998</v>
      </c>
      <c r="I284" s="38" t="s">
        <v>1106</v>
      </c>
      <c r="J284" s="32" t="s">
        <v>1043</v>
      </c>
      <c r="K284" s="116"/>
      <c r="L284" s="116"/>
      <c r="M284" s="116"/>
      <c r="N284" s="116"/>
      <c r="O284" s="116"/>
      <c r="P284" s="38" t="s">
        <v>1118</v>
      </c>
    </row>
    <row r="285" spans="1:16" ht="12">
      <c r="A285" s="118" t="s">
        <v>779</v>
      </c>
      <c r="B285" s="119" t="s">
        <v>971</v>
      </c>
      <c r="C285" s="32">
        <v>1</v>
      </c>
      <c r="D285" s="204" t="s">
        <v>947</v>
      </c>
      <c r="E285" s="205"/>
      <c r="F285" s="119" t="s">
        <v>54</v>
      </c>
      <c r="G285" s="32" t="s">
        <v>951</v>
      </c>
      <c r="H285" s="89">
        <f>137.39*1.15</f>
        <v>157.99849999999998</v>
      </c>
      <c r="I285" s="38" t="s">
        <v>1106</v>
      </c>
      <c r="J285" s="32" t="s">
        <v>1043</v>
      </c>
      <c r="K285" s="116"/>
      <c r="L285" s="116"/>
      <c r="M285" s="116"/>
      <c r="N285" s="116"/>
      <c r="O285" s="116"/>
      <c r="P285" s="38" t="s">
        <v>1118</v>
      </c>
    </row>
    <row r="286" spans="1:16" ht="12">
      <c r="A286" s="118" t="s">
        <v>779</v>
      </c>
      <c r="B286" s="119" t="s">
        <v>972</v>
      </c>
      <c r="C286" s="32">
        <v>4</v>
      </c>
      <c r="D286" s="204" t="s">
        <v>947</v>
      </c>
      <c r="E286" s="205"/>
      <c r="F286" s="119" t="s">
        <v>54</v>
      </c>
      <c r="G286" s="32" t="s">
        <v>951</v>
      </c>
      <c r="H286" s="89">
        <f>17.4*1.15</f>
        <v>20.009999999999998</v>
      </c>
      <c r="I286" s="38" t="s">
        <v>1106</v>
      </c>
      <c r="J286" s="32" t="s">
        <v>1043</v>
      </c>
      <c r="K286" s="116"/>
      <c r="L286" s="116"/>
      <c r="M286" s="116"/>
      <c r="N286" s="116"/>
      <c r="O286" s="116"/>
      <c r="P286" s="38" t="s">
        <v>1118</v>
      </c>
    </row>
    <row r="287" spans="1:16" ht="12">
      <c r="A287" s="118" t="s">
        <v>779</v>
      </c>
      <c r="B287" s="119" t="s">
        <v>973</v>
      </c>
      <c r="C287" s="32">
        <v>10</v>
      </c>
      <c r="D287" s="204" t="s">
        <v>947</v>
      </c>
      <c r="E287" s="205"/>
      <c r="F287" s="119" t="s">
        <v>54</v>
      </c>
      <c r="G287" s="32" t="s">
        <v>951</v>
      </c>
      <c r="H287" s="89">
        <f>113*1.15</f>
        <v>129.94999999999999</v>
      </c>
      <c r="I287" s="38" t="s">
        <v>1106</v>
      </c>
      <c r="J287" s="32" t="s">
        <v>1043</v>
      </c>
      <c r="K287" s="116"/>
      <c r="L287" s="116"/>
      <c r="M287" s="116"/>
      <c r="N287" s="116"/>
      <c r="O287" s="116"/>
      <c r="P287" s="38" t="s">
        <v>1118</v>
      </c>
    </row>
    <row r="288" spans="1:16" ht="12">
      <c r="A288" s="118" t="s">
        <v>779</v>
      </c>
      <c r="B288" s="119" t="s">
        <v>974</v>
      </c>
      <c r="C288" s="32">
        <v>50</v>
      </c>
      <c r="D288" s="204" t="s">
        <v>947</v>
      </c>
      <c r="E288" s="205"/>
      <c r="F288" s="119" t="s">
        <v>54</v>
      </c>
      <c r="G288" s="32" t="s">
        <v>951</v>
      </c>
      <c r="H288" s="89">
        <f>252*1.15</f>
        <v>289.79999999999995</v>
      </c>
      <c r="I288" s="38" t="s">
        <v>1106</v>
      </c>
      <c r="J288" s="32" t="s">
        <v>1043</v>
      </c>
      <c r="K288" s="116"/>
      <c r="L288" s="116"/>
      <c r="M288" s="116"/>
      <c r="N288" s="116"/>
      <c r="O288" s="116"/>
      <c r="P288" s="38" t="s">
        <v>1118</v>
      </c>
    </row>
    <row r="289" spans="1:17" ht="12">
      <c r="A289" s="118" t="s">
        <v>779</v>
      </c>
      <c r="B289" s="119" t="s">
        <v>965</v>
      </c>
      <c r="C289" s="32">
        <v>50</v>
      </c>
      <c r="D289" s="204" t="s">
        <v>947</v>
      </c>
      <c r="E289" s="205"/>
      <c r="F289" s="119" t="s">
        <v>54</v>
      </c>
      <c r="G289" s="32" t="s">
        <v>951</v>
      </c>
      <c r="H289" s="89">
        <f>165*1.15</f>
        <v>189.74999999999997</v>
      </c>
      <c r="I289" s="38" t="s">
        <v>1106</v>
      </c>
      <c r="J289" s="32" t="s">
        <v>1043</v>
      </c>
      <c r="K289" s="116"/>
      <c r="L289" s="116"/>
      <c r="M289" s="116"/>
      <c r="N289" s="116"/>
      <c r="O289" s="116"/>
      <c r="P289" s="38" t="s">
        <v>1118</v>
      </c>
    </row>
    <row r="290" spans="1:17" s="1" customFormat="1" ht="12">
      <c r="A290" s="118" t="s">
        <v>779</v>
      </c>
      <c r="B290" s="119" t="s">
        <v>144</v>
      </c>
      <c r="C290" s="32">
        <v>5</v>
      </c>
      <c r="D290" s="204" t="s">
        <v>947</v>
      </c>
      <c r="E290" s="205"/>
      <c r="F290" s="119" t="s">
        <v>54</v>
      </c>
      <c r="G290" s="32" t="s">
        <v>951</v>
      </c>
      <c r="H290" s="89">
        <f>282.6*1.15</f>
        <v>324.99</v>
      </c>
      <c r="I290" s="38" t="s">
        <v>1106</v>
      </c>
      <c r="J290" s="32" t="s">
        <v>1043</v>
      </c>
      <c r="K290" s="150"/>
      <c r="L290" s="150"/>
      <c r="M290" s="150"/>
      <c r="N290" s="150"/>
      <c r="O290" s="150"/>
      <c r="P290" s="38" t="s">
        <v>1118</v>
      </c>
    </row>
    <row r="291" spans="1:17" s="1" customFormat="1" ht="12">
      <c r="A291" s="118" t="s">
        <v>779</v>
      </c>
      <c r="B291" s="119" t="s">
        <v>975</v>
      </c>
      <c r="C291" s="32">
        <v>2</v>
      </c>
      <c r="D291" s="204" t="s">
        <v>947</v>
      </c>
      <c r="E291" s="205"/>
      <c r="F291" s="119" t="s">
        <v>54</v>
      </c>
      <c r="G291" s="32" t="s">
        <v>951</v>
      </c>
      <c r="H291" s="89">
        <f>95.66*1.15</f>
        <v>110.00899999999999</v>
      </c>
      <c r="I291" s="38" t="s">
        <v>1106</v>
      </c>
      <c r="J291" s="32" t="s">
        <v>1043</v>
      </c>
      <c r="K291" s="150"/>
      <c r="L291" s="150"/>
      <c r="M291" s="150"/>
      <c r="N291" s="150"/>
      <c r="O291" s="150"/>
      <c r="P291" s="38" t="s">
        <v>1118</v>
      </c>
    </row>
    <row r="292" spans="1:17" s="1" customFormat="1" ht="12">
      <c r="A292" s="118" t="s">
        <v>779</v>
      </c>
      <c r="B292" s="119" t="s">
        <v>976</v>
      </c>
      <c r="C292" s="32">
        <v>2</v>
      </c>
      <c r="D292" s="204" t="s">
        <v>947</v>
      </c>
      <c r="E292" s="205"/>
      <c r="F292" s="119" t="s">
        <v>54</v>
      </c>
      <c r="G292" s="32" t="s">
        <v>951</v>
      </c>
      <c r="H292" s="89">
        <f>78.26*1.15</f>
        <v>89.998999999999995</v>
      </c>
      <c r="I292" s="38" t="s">
        <v>1106</v>
      </c>
      <c r="J292" s="32" t="s">
        <v>1043</v>
      </c>
      <c r="K292" s="150"/>
      <c r="L292" s="150"/>
      <c r="M292" s="150"/>
      <c r="N292" s="150"/>
      <c r="O292" s="150"/>
      <c r="P292" s="38" t="s">
        <v>1118</v>
      </c>
      <c r="Q292" s="111"/>
    </row>
    <row r="293" spans="1:17" s="7" customFormat="1" ht="11.25">
      <c r="A293" s="116"/>
      <c r="B293" s="116"/>
      <c r="C293" s="116"/>
      <c r="D293" s="116"/>
      <c r="E293" s="116"/>
      <c r="F293" s="116"/>
      <c r="G293" s="116"/>
      <c r="H293" s="159">
        <f>SUM(H264:H292)</f>
        <v>10481.375999999998</v>
      </c>
      <c r="I293" s="116"/>
      <c r="J293" s="116"/>
      <c r="K293" s="150"/>
      <c r="L293" s="150"/>
      <c r="M293" s="150"/>
      <c r="N293" s="150"/>
      <c r="O293" s="150"/>
      <c r="P293" s="150"/>
    </row>
    <row r="294" spans="1:17" s="7" customFormat="1" ht="11.25">
      <c r="A294" s="116"/>
      <c r="B294" s="116"/>
      <c r="C294" s="116"/>
      <c r="D294" s="116"/>
      <c r="E294" s="116"/>
      <c r="F294" s="116"/>
      <c r="G294" s="116"/>
      <c r="H294" s="159"/>
      <c r="I294" s="116"/>
      <c r="J294" s="116"/>
      <c r="K294" s="150"/>
      <c r="L294" s="150"/>
      <c r="M294" s="150"/>
      <c r="N294" s="150"/>
      <c r="O294" s="150"/>
      <c r="P294" s="150"/>
    </row>
    <row r="295" spans="1:17" s="1" customFormat="1" ht="11.25" customHeight="1">
      <c r="A295" s="194" t="s">
        <v>17</v>
      </c>
      <c r="B295" s="194" t="s">
        <v>19</v>
      </c>
      <c r="C295" s="194" t="s">
        <v>20</v>
      </c>
      <c r="D295" s="194" t="s">
        <v>115</v>
      </c>
      <c r="E295" s="194" t="s">
        <v>1121</v>
      </c>
      <c r="F295" s="194" t="s">
        <v>23</v>
      </c>
      <c r="G295" s="194" t="s">
        <v>24</v>
      </c>
      <c r="H295" s="195" t="s">
        <v>25</v>
      </c>
      <c r="I295" s="195" t="s">
        <v>18</v>
      </c>
      <c r="J295" s="203" t="s">
        <v>470</v>
      </c>
      <c r="K295" s="167"/>
      <c r="L295" s="167"/>
      <c r="M295" s="167"/>
      <c r="N295" s="167"/>
      <c r="O295" s="167"/>
      <c r="P295" s="203" t="s">
        <v>1115</v>
      </c>
      <c r="Q295" s="7"/>
    </row>
    <row r="296" spans="1:17" s="1" customFormat="1" ht="15" customHeight="1">
      <c r="A296" s="194"/>
      <c r="B296" s="194"/>
      <c r="C296" s="194"/>
      <c r="D296" s="194"/>
      <c r="E296" s="194"/>
      <c r="F296" s="194"/>
      <c r="G296" s="194"/>
      <c r="H296" s="195"/>
      <c r="I296" s="195"/>
      <c r="J296" s="203"/>
      <c r="K296" s="167"/>
      <c r="L296" s="167"/>
      <c r="M296" s="167"/>
      <c r="N296" s="167"/>
      <c r="O296" s="167"/>
      <c r="P296" s="203"/>
    </row>
    <row r="297" spans="1:17" s="1" customFormat="1" ht="45">
      <c r="A297" s="118" t="s">
        <v>824</v>
      </c>
      <c r="B297" s="32" t="s">
        <v>825</v>
      </c>
      <c r="C297" s="32">
        <v>1</v>
      </c>
      <c r="D297" s="114" t="s">
        <v>826</v>
      </c>
      <c r="E297" s="114" t="s">
        <v>827</v>
      </c>
      <c r="F297" s="119" t="s">
        <v>33</v>
      </c>
      <c r="G297" s="32">
        <v>4005</v>
      </c>
      <c r="H297" s="89">
        <v>53490</v>
      </c>
      <c r="I297" s="38" t="s">
        <v>221</v>
      </c>
      <c r="J297" s="32" t="s">
        <v>1043</v>
      </c>
      <c r="K297" s="150"/>
      <c r="L297" s="150"/>
      <c r="M297" s="150"/>
      <c r="N297" s="150"/>
      <c r="O297" s="150"/>
      <c r="P297" s="33" t="s">
        <v>1117</v>
      </c>
    </row>
    <row r="298" spans="1:17" s="7" customFormat="1" ht="12">
      <c r="A298" s="118"/>
      <c r="B298" s="32"/>
      <c r="C298" s="32"/>
      <c r="D298" s="211"/>
      <c r="E298" s="211"/>
      <c r="F298" s="119"/>
      <c r="G298" s="32"/>
      <c r="H298" s="165">
        <f>SUM(H297)</f>
        <v>53490</v>
      </c>
      <c r="I298" s="38"/>
      <c r="J298" s="32"/>
      <c r="K298" s="150"/>
      <c r="L298" s="150"/>
      <c r="M298" s="150"/>
      <c r="N298" s="150"/>
      <c r="O298" s="150"/>
      <c r="P298" s="150"/>
    </row>
    <row r="299" spans="1:17" s="7" customFormat="1" ht="12">
      <c r="A299" s="118"/>
      <c r="B299" s="32"/>
      <c r="C299" s="32"/>
      <c r="D299" s="119"/>
      <c r="E299" s="119"/>
      <c r="F299" s="119"/>
      <c r="G299" s="32"/>
      <c r="H299" s="165"/>
      <c r="I299" s="38"/>
      <c r="J299" s="32"/>
      <c r="K299" s="150"/>
      <c r="L299" s="150"/>
      <c r="M299" s="150"/>
      <c r="N299" s="150"/>
      <c r="O299" s="150"/>
      <c r="P299" s="150"/>
    </row>
    <row r="300" spans="1:17" s="1" customFormat="1" ht="11.25" customHeight="1">
      <c r="A300" s="194" t="s">
        <v>17</v>
      </c>
      <c r="B300" s="194" t="s">
        <v>19</v>
      </c>
      <c r="C300" s="194" t="s">
        <v>20</v>
      </c>
      <c r="D300" s="206" t="s">
        <v>115</v>
      </c>
      <c r="E300" s="207"/>
      <c r="F300" s="194" t="s">
        <v>23</v>
      </c>
      <c r="G300" s="194" t="s">
        <v>24</v>
      </c>
      <c r="H300" s="195" t="s">
        <v>25</v>
      </c>
      <c r="I300" s="195" t="s">
        <v>18</v>
      </c>
      <c r="J300" s="203" t="s">
        <v>470</v>
      </c>
      <c r="K300" s="167"/>
      <c r="L300" s="167"/>
      <c r="M300" s="167"/>
      <c r="N300" s="167"/>
      <c r="O300" s="167"/>
      <c r="P300" s="203" t="s">
        <v>1115</v>
      </c>
      <c r="Q300" s="7"/>
    </row>
    <row r="301" spans="1:17" s="1" customFormat="1" ht="15" customHeight="1">
      <c r="A301" s="194"/>
      <c r="B301" s="194"/>
      <c r="C301" s="194"/>
      <c r="D301" s="208"/>
      <c r="E301" s="209"/>
      <c r="F301" s="194"/>
      <c r="G301" s="194"/>
      <c r="H301" s="195"/>
      <c r="I301" s="195"/>
      <c r="J301" s="203"/>
      <c r="K301" s="167"/>
      <c r="L301" s="167"/>
      <c r="M301" s="167"/>
      <c r="N301" s="167"/>
      <c r="O301" s="167"/>
      <c r="P301" s="203"/>
    </row>
    <row r="302" spans="1:17" s="1" customFormat="1" ht="26.25" customHeight="1">
      <c r="A302" s="118" t="s">
        <v>828</v>
      </c>
      <c r="B302" s="32" t="s">
        <v>829</v>
      </c>
      <c r="C302" s="32">
        <v>1</v>
      </c>
      <c r="D302" s="204" t="s">
        <v>830</v>
      </c>
      <c r="E302" s="205"/>
      <c r="F302" s="119" t="s">
        <v>33</v>
      </c>
      <c r="G302" s="32" t="s">
        <v>831</v>
      </c>
      <c r="H302" s="89">
        <f>1323*1.16</f>
        <v>1534.6799999999998</v>
      </c>
      <c r="I302" s="38" t="s">
        <v>1054</v>
      </c>
      <c r="J302" s="32" t="s">
        <v>1043</v>
      </c>
      <c r="K302" s="150"/>
      <c r="L302" s="150"/>
      <c r="M302" s="150"/>
      <c r="N302" s="150"/>
      <c r="O302" s="150"/>
      <c r="P302" s="33" t="s">
        <v>1117</v>
      </c>
    </row>
    <row r="303" spans="1:17" ht="12">
      <c r="A303" s="118"/>
      <c r="B303" s="32"/>
      <c r="C303" s="32"/>
      <c r="D303" s="211"/>
      <c r="E303" s="211"/>
      <c r="F303" s="119"/>
      <c r="G303" s="32"/>
      <c r="H303" s="165">
        <f>SUM(H302)</f>
        <v>1534.6799999999998</v>
      </c>
      <c r="I303" s="38"/>
      <c r="J303" s="32"/>
      <c r="K303" s="116"/>
      <c r="L303" s="116"/>
      <c r="M303" s="116"/>
      <c r="N303" s="116"/>
      <c r="O303" s="116"/>
      <c r="P303" s="116"/>
    </row>
    <row r="304" spans="1:17" ht="12">
      <c r="A304" s="118"/>
      <c r="B304" s="32"/>
      <c r="C304" s="32"/>
      <c r="D304" s="119"/>
      <c r="E304" s="119"/>
      <c r="F304" s="119"/>
      <c r="G304" s="32"/>
      <c r="H304" s="165"/>
      <c r="I304" s="38"/>
      <c r="J304" s="32"/>
      <c r="K304" s="116"/>
      <c r="L304" s="116"/>
      <c r="M304" s="116"/>
      <c r="N304" s="116"/>
      <c r="O304" s="116"/>
      <c r="P304" s="116"/>
    </row>
    <row r="305" spans="1:17" s="1" customFormat="1" ht="11.25" customHeight="1">
      <c r="A305" s="194" t="s">
        <v>17</v>
      </c>
      <c r="B305" s="194" t="s">
        <v>19</v>
      </c>
      <c r="C305" s="194" t="s">
        <v>20</v>
      </c>
      <c r="D305" s="194" t="s">
        <v>115</v>
      </c>
      <c r="E305" s="194" t="s">
        <v>1121</v>
      </c>
      <c r="F305" s="194" t="s">
        <v>23</v>
      </c>
      <c r="G305" s="194" t="s">
        <v>24</v>
      </c>
      <c r="H305" s="195" t="s">
        <v>25</v>
      </c>
      <c r="I305" s="195" t="s">
        <v>18</v>
      </c>
      <c r="J305" s="203" t="s">
        <v>470</v>
      </c>
      <c r="K305" s="167"/>
      <c r="L305" s="167"/>
      <c r="M305" s="167"/>
      <c r="N305" s="167"/>
      <c r="O305" s="167"/>
      <c r="P305" s="203" t="s">
        <v>1115</v>
      </c>
      <c r="Q305" s="7"/>
    </row>
    <row r="306" spans="1:17" s="1" customFormat="1" ht="15" customHeight="1">
      <c r="A306" s="194"/>
      <c r="B306" s="194"/>
      <c r="C306" s="194"/>
      <c r="D306" s="194"/>
      <c r="E306" s="194"/>
      <c r="F306" s="194"/>
      <c r="G306" s="194"/>
      <c r="H306" s="195"/>
      <c r="I306" s="195"/>
      <c r="J306" s="203"/>
      <c r="K306" s="167"/>
      <c r="L306" s="167"/>
      <c r="M306" s="167"/>
      <c r="N306" s="167"/>
      <c r="O306" s="167"/>
      <c r="P306" s="203"/>
    </row>
    <row r="307" spans="1:17" ht="27.75" customHeight="1">
      <c r="A307" s="118" t="s">
        <v>881</v>
      </c>
      <c r="B307" s="32" t="s">
        <v>832</v>
      </c>
      <c r="C307" s="32">
        <v>1</v>
      </c>
      <c r="D307" s="114" t="s">
        <v>830</v>
      </c>
      <c r="E307" s="114" t="s">
        <v>833</v>
      </c>
      <c r="F307" s="119" t="s">
        <v>33</v>
      </c>
      <c r="G307" s="32" t="s">
        <v>834</v>
      </c>
      <c r="H307" s="89">
        <f>790.21*1.16</f>
        <v>916.64359999999999</v>
      </c>
      <c r="I307" s="38" t="s">
        <v>1046</v>
      </c>
      <c r="J307" s="32" t="s">
        <v>1043</v>
      </c>
      <c r="K307" s="116"/>
      <c r="L307" s="116"/>
      <c r="M307" s="116"/>
      <c r="N307" s="116"/>
      <c r="O307" s="116"/>
      <c r="P307" s="33" t="s">
        <v>1117</v>
      </c>
    </row>
    <row r="308" spans="1:17" ht="17.25" customHeight="1">
      <c r="A308" s="116"/>
      <c r="B308" s="116"/>
      <c r="C308" s="116"/>
      <c r="D308" s="116"/>
      <c r="E308" s="116"/>
      <c r="F308" s="116"/>
      <c r="G308" s="116"/>
      <c r="H308" s="162">
        <f>SUM(H307)</f>
        <v>916.64359999999999</v>
      </c>
      <c r="I308" s="116"/>
      <c r="J308" s="116"/>
      <c r="K308" s="116"/>
      <c r="L308" s="116"/>
      <c r="M308" s="116"/>
      <c r="N308" s="116"/>
      <c r="O308" s="116"/>
      <c r="P308" s="116"/>
    </row>
    <row r="309" spans="1:17" ht="17.25" customHeight="1">
      <c r="A309" s="116"/>
      <c r="B309" s="116"/>
      <c r="C309" s="116"/>
      <c r="D309" s="116"/>
      <c r="E309" s="116"/>
      <c r="F309" s="116"/>
      <c r="G309" s="116"/>
      <c r="H309" s="162"/>
      <c r="I309" s="116"/>
      <c r="J309" s="116"/>
      <c r="K309" s="116"/>
      <c r="L309" s="116"/>
      <c r="M309" s="116"/>
      <c r="N309" s="116"/>
      <c r="O309" s="116"/>
      <c r="P309" s="116"/>
    </row>
    <row r="310" spans="1:17" s="1" customFormat="1" ht="11.25" customHeight="1">
      <c r="A310" s="194" t="s">
        <v>17</v>
      </c>
      <c r="B310" s="194" t="s">
        <v>19</v>
      </c>
      <c r="C310" s="194" t="s">
        <v>20</v>
      </c>
      <c r="D310" s="194" t="s">
        <v>115</v>
      </c>
      <c r="E310" s="194" t="s">
        <v>1121</v>
      </c>
      <c r="F310" s="194" t="s">
        <v>23</v>
      </c>
      <c r="G310" s="194" t="s">
        <v>24</v>
      </c>
      <c r="H310" s="195" t="s">
        <v>25</v>
      </c>
      <c r="I310" s="195" t="s">
        <v>18</v>
      </c>
      <c r="J310" s="203" t="s">
        <v>470</v>
      </c>
      <c r="K310" s="167"/>
      <c r="L310" s="167"/>
      <c r="M310" s="167"/>
      <c r="N310" s="167"/>
      <c r="O310" s="167"/>
      <c r="P310" s="203" t="s">
        <v>1115</v>
      </c>
      <c r="Q310" s="7"/>
    </row>
    <row r="311" spans="1:17" s="1" customFormat="1" ht="15" customHeight="1">
      <c r="A311" s="194"/>
      <c r="B311" s="194"/>
      <c r="C311" s="194"/>
      <c r="D311" s="194"/>
      <c r="E311" s="194"/>
      <c r="F311" s="194"/>
      <c r="G311" s="194"/>
      <c r="H311" s="195"/>
      <c r="I311" s="195"/>
      <c r="J311" s="203"/>
      <c r="K311" s="167"/>
      <c r="L311" s="167"/>
      <c r="M311" s="167"/>
      <c r="N311" s="167"/>
      <c r="O311" s="167"/>
      <c r="P311" s="203"/>
    </row>
    <row r="312" spans="1:17" ht="45">
      <c r="A312" s="118" t="s">
        <v>864</v>
      </c>
      <c r="B312" s="32" t="s">
        <v>865</v>
      </c>
      <c r="C312" s="114" t="s">
        <v>866</v>
      </c>
      <c r="D312" s="114" t="s">
        <v>867</v>
      </c>
      <c r="E312" s="114" t="s">
        <v>868</v>
      </c>
      <c r="F312" s="119" t="s">
        <v>33</v>
      </c>
      <c r="G312" s="32">
        <v>4076</v>
      </c>
      <c r="H312" s="165">
        <v>7300</v>
      </c>
      <c r="I312" s="38" t="s">
        <v>221</v>
      </c>
      <c r="J312" s="32" t="s">
        <v>1043</v>
      </c>
      <c r="K312" s="116"/>
      <c r="L312" s="116"/>
      <c r="M312" s="116"/>
      <c r="N312" s="116"/>
      <c r="O312" s="116"/>
      <c r="P312" s="33" t="s">
        <v>1117</v>
      </c>
    </row>
    <row r="313" spans="1:17" ht="12">
      <c r="A313" s="118"/>
      <c r="B313" s="32"/>
      <c r="C313" s="114"/>
      <c r="D313" s="114"/>
      <c r="E313" s="114"/>
      <c r="F313" s="119"/>
      <c r="G313" s="32"/>
      <c r="H313" s="165"/>
      <c r="I313" s="38"/>
      <c r="J313" s="32"/>
      <c r="K313" s="116"/>
      <c r="L313" s="116"/>
      <c r="M313" s="116"/>
      <c r="N313" s="116"/>
      <c r="O313" s="116"/>
      <c r="P313" s="116"/>
    </row>
    <row r="314" spans="1:17" s="1" customFormat="1" ht="12">
      <c r="A314" s="194" t="s">
        <v>17</v>
      </c>
      <c r="B314" s="194" t="s">
        <v>19</v>
      </c>
      <c r="C314" s="194" t="s">
        <v>20</v>
      </c>
      <c r="D314" s="194" t="s">
        <v>115</v>
      </c>
      <c r="E314" s="194" t="s">
        <v>1121</v>
      </c>
      <c r="F314" s="194" t="s">
        <v>23</v>
      </c>
      <c r="G314" s="194" t="s">
        <v>24</v>
      </c>
      <c r="H314" s="195" t="s">
        <v>25</v>
      </c>
      <c r="I314" s="195" t="s">
        <v>18</v>
      </c>
      <c r="J314" s="203" t="s">
        <v>470</v>
      </c>
      <c r="K314" s="167"/>
      <c r="L314" s="167"/>
      <c r="M314" s="167"/>
      <c r="N314" s="167"/>
      <c r="O314" s="167"/>
      <c r="P314" s="203" t="s">
        <v>1115</v>
      </c>
      <c r="Q314" s="7"/>
    </row>
    <row r="315" spans="1:17" s="1" customFormat="1" ht="15" customHeight="1">
      <c r="A315" s="194"/>
      <c r="B315" s="194"/>
      <c r="C315" s="194"/>
      <c r="D315" s="194"/>
      <c r="E315" s="194"/>
      <c r="F315" s="194"/>
      <c r="G315" s="194"/>
      <c r="H315" s="195"/>
      <c r="I315" s="195"/>
      <c r="J315" s="203"/>
      <c r="K315" s="167"/>
      <c r="L315" s="167"/>
      <c r="M315" s="167"/>
      <c r="N315" s="167"/>
      <c r="O315" s="167"/>
      <c r="P315" s="203"/>
    </row>
    <row r="316" spans="1:17" ht="30" customHeight="1">
      <c r="A316" s="118" t="s">
        <v>869</v>
      </c>
      <c r="B316" s="32" t="s">
        <v>870</v>
      </c>
      <c r="C316" s="32" t="s">
        <v>871</v>
      </c>
      <c r="D316" s="114" t="s">
        <v>872</v>
      </c>
      <c r="E316" s="114" t="s">
        <v>873</v>
      </c>
      <c r="F316" s="119" t="s">
        <v>33</v>
      </c>
      <c r="G316" s="32" t="s">
        <v>874</v>
      </c>
      <c r="H316" s="165">
        <v>108000</v>
      </c>
      <c r="I316" s="38" t="s">
        <v>875</v>
      </c>
      <c r="J316" s="32" t="s">
        <v>1043</v>
      </c>
      <c r="K316" s="116"/>
      <c r="L316" s="116"/>
      <c r="M316" s="116"/>
      <c r="N316" s="116"/>
      <c r="O316" s="116"/>
      <c r="P316" s="33" t="s">
        <v>1117</v>
      </c>
    </row>
    <row r="317" spans="1:17" ht="12.75">
      <c r="A317" s="64"/>
      <c r="B317" s="64"/>
      <c r="C317" s="64"/>
      <c r="D317" s="64"/>
      <c r="E317" s="64"/>
      <c r="F317" s="64"/>
      <c r="G317" s="64"/>
      <c r="H317" s="21"/>
      <c r="I317" s="64"/>
      <c r="J317" s="64"/>
      <c r="K317" s="68"/>
      <c r="L317" s="68"/>
    </row>
    <row r="318" spans="1:17" ht="12.75">
      <c r="A318" s="64"/>
      <c r="B318" s="64"/>
      <c r="C318" s="64"/>
      <c r="D318" s="64"/>
      <c r="E318" s="64"/>
      <c r="F318" s="64"/>
      <c r="G318" s="64"/>
      <c r="H318" s="21"/>
      <c r="I318" s="64"/>
      <c r="J318" s="64"/>
      <c r="K318" s="68"/>
      <c r="L318" s="68"/>
    </row>
    <row r="319" spans="1:17" ht="12.75">
      <c r="A319" s="64"/>
      <c r="B319" s="64"/>
      <c r="C319" s="64"/>
      <c r="D319" s="64"/>
      <c r="E319" s="64"/>
      <c r="F319" s="64"/>
      <c r="G319" s="64"/>
      <c r="H319" s="21"/>
      <c r="I319" s="64"/>
      <c r="J319" s="64"/>
      <c r="K319" s="68"/>
      <c r="L319" s="68"/>
    </row>
    <row r="320" spans="1:17" ht="12.75">
      <c r="A320" s="64"/>
      <c r="B320" s="64"/>
      <c r="C320" s="64"/>
      <c r="D320" s="64"/>
      <c r="E320" s="64"/>
      <c r="F320" s="64"/>
      <c r="G320" s="64"/>
      <c r="H320" s="21"/>
      <c r="I320" s="64"/>
      <c r="J320" s="64"/>
      <c r="K320" s="68"/>
      <c r="L320" s="68"/>
    </row>
    <row r="321" spans="1:14" ht="12.75">
      <c r="A321" s="64"/>
      <c r="B321" s="64"/>
      <c r="C321" s="64"/>
      <c r="D321" s="64"/>
      <c r="E321" s="64"/>
      <c r="F321" s="64"/>
      <c r="G321" s="64"/>
      <c r="H321" s="65"/>
      <c r="I321" s="64"/>
      <c r="J321" s="64"/>
      <c r="K321" s="68"/>
      <c r="L321" s="68"/>
    </row>
    <row r="322" spans="1:14" ht="12.75">
      <c r="H322" s="12"/>
      <c r="K322" s="68"/>
      <c r="L322" s="68"/>
    </row>
    <row r="323" spans="1:14" ht="12.75">
      <c r="H323" s="12"/>
      <c r="K323" s="68"/>
      <c r="L323" s="68"/>
    </row>
    <row r="324" spans="1:14" ht="12.75">
      <c r="H324" s="12"/>
      <c r="K324" s="68"/>
      <c r="L324" s="68"/>
    </row>
    <row r="325" spans="1:14" ht="12.75">
      <c r="B325" s="68" t="s">
        <v>722</v>
      </c>
      <c r="C325" s="69">
        <v>10348</v>
      </c>
      <c r="D325" s="69"/>
      <c r="E325" s="69">
        <f>+C325+D325</f>
        <v>10348</v>
      </c>
      <c r="F325" s="139" t="s">
        <v>1119</v>
      </c>
      <c r="G325" s="68"/>
      <c r="H325" s="68"/>
      <c r="I325" s="68"/>
      <c r="J325" s="68"/>
      <c r="K325" s="68"/>
      <c r="L325" s="68"/>
    </row>
    <row r="326" spans="1:14" ht="12.75">
      <c r="B326" s="68" t="s">
        <v>743</v>
      </c>
      <c r="C326" s="69">
        <v>-3474.55</v>
      </c>
      <c r="D326" s="69"/>
      <c r="E326" s="69">
        <f>+C326</f>
        <v>-3474.55</v>
      </c>
      <c r="F326" s="68"/>
      <c r="G326" s="68"/>
      <c r="H326" s="68"/>
      <c r="I326" s="68"/>
      <c r="J326" s="68"/>
      <c r="K326" s="70"/>
      <c r="L326" s="70"/>
      <c r="M326" s="70"/>
      <c r="N326" s="70"/>
    </row>
    <row r="327" spans="1:14" ht="12.75">
      <c r="B327" s="68" t="s">
        <v>723</v>
      </c>
      <c r="C327" s="68"/>
      <c r="D327" s="68"/>
      <c r="E327" s="69">
        <v>5730</v>
      </c>
      <c r="F327" s="68" t="s">
        <v>911</v>
      </c>
      <c r="G327" s="68"/>
      <c r="H327" s="68"/>
      <c r="I327" s="68"/>
      <c r="J327" s="68"/>
      <c r="K327" s="68"/>
      <c r="L327" s="68"/>
    </row>
    <row r="328" spans="1:14" ht="12.75">
      <c r="B328" s="68" t="s">
        <v>724</v>
      </c>
      <c r="C328" s="68"/>
      <c r="D328" s="68"/>
      <c r="E328" s="69">
        <v>4297</v>
      </c>
      <c r="F328" s="68" t="s">
        <v>913</v>
      </c>
      <c r="G328" s="68"/>
      <c r="H328" s="68"/>
      <c r="I328" s="68"/>
      <c r="J328" s="68"/>
      <c r="K328" s="68"/>
      <c r="L328" s="68"/>
    </row>
    <row r="329" spans="1:14" ht="12.75">
      <c r="B329" s="68" t="s">
        <v>725</v>
      </c>
      <c r="C329" s="68"/>
      <c r="D329" s="68"/>
      <c r="E329" s="69">
        <v>4134.82</v>
      </c>
      <c r="F329" s="68" t="s">
        <v>914</v>
      </c>
      <c r="G329" s="68"/>
      <c r="H329" s="68"/>
      <c r="I329" s="68"/>
      <c r="J329" s="68"/>
      <c r="K329" s="68"/>
      <c r="L329" s="68"/>
    </row>
    <row r="330" spans="1:14" ht="12.75">
      <c r="B330" s="71" t="s">
        <v>726</v>
      </c>
      <c r="C330" s="68"/>
      <c r="D330" s="68"/>
      <c r="E330" s="144">
        <v>50235.45</v>
      </c>
      <c r="F330" s="210" t="s">
        <v>928</v>
      </c>
      <c r="G330" s="210"/>
      <c r="H330" s="210"/>
      <c r="I330" s="210"/>
      <c r="J330" s="210"/>
      <c r="K330" s="68"/>
      <c r="L330" s="68"/>
    </row>
    <row r="331" spans="1:14" ht="28.5" customHeight="1">
      <c r="B331" s="68" t="s">
        <v>727</v>
      </c>
      <c r="C331" s="68"/>
      <c r="D331" s="68"/>
      <c r="E331" s="69">
        <v>30309.34</v>
      </c>
      <c r="F331" s="210" t="s">
        <v>918</v>
      </c>
      <c r="G331" s="210"/>
      <c r="H331" s="210"/>
      <c r="I331" s="210"/>
      <c r="J331" s="210"/>
      <c r="K331" s="68"/>
      <c r="L331" s="68"/>
    </row>
    <row r="332" spans="1:14" ht="12.75">
      <c r="B332" s="68" t="s">
        <v>728</v>
      </c>
      <c r="C332" s="68"/>
      <c r="D332" s="68"/>
      <c r="E332" s="69">
        <v>19662.07</v>
      </c>
      <c r="F332" s="68" t="s">
        <v>915</v>
      </c>
      <c r="G332" s="68"/>
      <c r="H332" s="68"/>
      <c r="I332" s="68"/>
      <c r="J332" s="68"/>
      <c r="K332" s="68"/>
      <c r="L332" s="68"/>
    </row>
    <row r="333" spans="1:14" ht="12.75">
      <c r="B333" s="68" t="s">
        <v>729</v>
      </c>
      <c r="C333" s="68"/>
      <c r="D333" s="68"/>
      <c r="E333" s="69">
        <v>6600</v>
      </c>
      <c r="F333" s="68" t="s">
        <v>916</v>
      </c>
      <c r="G333" s="68"/>
      <c r="H333" s="68"/>
      <c r="I333" s="68"/>
      <c r="J333" s="68"/>
      <c r="K333" s="68"/>
      <c r="L333" s="68"/>
    </row>
    <row r="334" spans="1:14" ht="12.75">
      <c r="B334" s="68" t="s">
        <v>730</v>
      </c>
      <c r="C334" s="68"/>
      <c r="D334" s="68"/>
      <c r="E334" s="69">
        <v>34500</v>
      </c>
      <c r="F334" s="68" t="s">
        <v>917</v>
      </c>
      <c r="G334" s="68"/>
      <c r="H334" s="68"/>
      <c r="I334" s="68"/>
      <c r="J334" s="68"/>
      <c r="K334" s="68"/>
      <c r="L334" s="68"/>
    </row>
    <row r="335" spans="1:14" ht="12.75">
      <c r="B335" s="68" t="s">
        <v>731</v>
      </c>
      <c r="C335" s="68"/>
      <c r="D335" s="68"/>
      <c r="E335" s="69">
        <v>192.39</v>
      </c>
      <c r="F335" s="72" t="s">
        <v>919</v>
      </c>
      <c r="G335" s="68"/>
      <c r="H335" s="68"/>
      <c r="I335" s="68"/>
      <c r="J335" s="68"/>
      <c r="K335" s="68"/>
      <c r="L335" s="68"/>
    </row>
    <row r="336" spans="1:14" ht="12.75">
      <c r="B336" s="68" t="s">
        <v>732</v>
      </c>
      <c r="C336" s="68"/>
      <c r="D336" s="68"/>
      <c r="E336" s="69">
        <v>5190</v>
      </c>
      <c r="F336" s="68" t="s">
        <v>920</v>
      </c>
      <c r="G336" s="68"/>
      <c r="H336" s="68"/>
      <c r="I336" s="68"/>
      <c r="J336" s="68"/>
      <c r="K336" s="68"/>
      <c r="L336" s="68"/>
    </row>
    <row r="337" spans="2:15" ht="12.75">
      <c r="B337" s="68" t="s">
        <v>733</v>
      </c>
      <c r="C337" s="68"/>
      <c r="D337" s="68"/>
      <c r="E337" s="69">
        <v>260</v>
      </c>
      <c r="F337" s="68" t="s">
        <v>921</v>
      </c>
      <c r="G337" s="68"/>
      <c r="H337" s="68"/>
      <c r="I337" s="68"/>
      <c r="J337" s="68"/>
      <c r="K337" s="68"/>
      <c r="L337" s="68"/>
    </row>
    <row r="338" spans="2:15" ht="12.75" customHeight="1">
      <c r="B338" s="68" t="s">
        <v>734</v>
      </c>
      <c r="C338" s="68"/>
      <c r="D338" s="69">
        <f>+E330+E338</f>
        <v>37125.449999999997</v>
      </c>
      <c r="E338" s="72">
        <v>-13110</v>
      </c>
      <c r="F338" s="68" t="s">
        <v>929</v>
      </c>
      <c r="G338" s="72"/>
      <c r="H338" s="68"/>
      <c r="I338" s="68"/>
      <c r="J338" s="68"/>
      <c r="K338" s="73"/>
      <c r="L338" s="73"/>
      <c r="M338" s="73"/>
      <c r="N338" s="73"/>
      <c r="O338" s="73"/>
    </row>
    <row r="339" spans="2:15" ht="12.75" customHeight="1">
      <c r="B339" s="68" t="s">
        <v>742</v>
      </c>
      <c r="C339" s="68"/>
      <c r="D339" s="69"/>
      <c r="E339" s="72">
        <v>-4033.04</v>
      </c>
      <c r="F339" s="68"/>
      <c r="G339" s="68"/>
      <c r="H339" s="68"/>
      <c r="I339" s="68"/>
      <c r="J339" s="68"/>
      <c r="K339" s="73"/>
      <c r="L339" s="73"/>
      <c r="M339" s="73"/>
      <c r="N339" s="73"/>
      <c r="O339" s="73"/>
    </row>
    <row r="340" spans="2:15" ht="12.75" customHeight="1">
      <c r="B340" s="68" t="s">
        <v>735</v>
      </c>
      <c r="C340" s="68"/>
      <c r="D340" s="68"/>
      <c r="E340" s="69">
        <v>7200</v>
      </c>
      <c r="F340" s="68" t="s">
        <v>927</v>
      </c>
      <c r="G340" s="68"/>
      <c r="H340" s="68"/>
      <c r="I340" s="68"/>
      <c r="J340" s="68"/>
      <c r="K340" s="73"/>
      <c r="L340" s="73"/>
      <c r="M340" s="73"/>
      <c r="N340" s="73"/>
      <c r="O340" s="73"/>
    </row>
    <row r="341" spans="2:15" ht="12.75">
      <c r="B341" s="68" t="s">
        <v>736</v>
      </c>
      <c r="C341" s="68"/>
      <c r="D341" s="68"/>
      <c r="E341" s="69">
        <v>12811</v>
      </c>
      <c r="F341" s="68" t="s">
        <v>926</v>
      </c>
      <c r="G341" s="68"/>
      <c r="H341" s="68"/>
      <c r="I341" s="68"/>
      <c r="J341" s="68"/>
      <c r="K341" s="68"/>
      <c r="L341" s="68"/>
    </row>
    <row r="342" spans="2:15" ht="51">
      <c r="B342" s="68" t="s">
        <v>737</v>
      </c>
      <c r="C342" s="68"/>
      <c r="D342" s="68"/>
      <c r="E342" s="145">
        <v>10481.379999999999</v>
      </c>
      <c r="F342" s="73" t="s">
        <v>977</v>
      </c>
      <c r="G342" s="73"/>
      <c r="H342" s="73"/>
      <c r="I342" s="73"/>
      <c r="J342" s="73"/>
      <c r="K342" s="68"/>
      <c r="L342" s="68"/>
    </row>
    <row r="343" spans="2:15" ht="51">
      <c r="B343" s="68" t="s">
        <v>738</v>
      </c>
      <c r="C343" s="68"/>
      <c r="D343" s="68"/>
      <c r="E343" s="69">
        <v>7564.32</v>
      </c>
      <c r="F343" s="73" t="s">
        <v>949</v>
      </c>
      <c r="G343" s="73"/>
      <c r="H343" s="73"/>
      <c r="I343" s="73"/>
      <c r="J343" s="73"/>
      <c r="K343" s="68"/>
      <c r="L343" s="68"/>
    </row>
    <row r="344" spans="2:15" ht="12.75">
      <c r="B344" s="68" t="s">
        <v>740</v>
      </c>
      <c r="C344" s="68"/>
      <c r="D344" s="72">
        <f>+E326+E339+E344</f>
        <v>0</v>
      </c>
      <c r="E344" s="69">
        <v>7507.59</v>
      </c>
      <c r="F344" s="212" t="s">
        <v>882</v>
      </c>
      <c r="G344" s="212"/>
      <c r="H344" s="212"/>
      <c r="I344" s="212"/>
      <c r="J344" s="73"/>
      <c r="K344" s="68"/>
      <c r="L344" s="68"/>
    </row>
    <row r="345" spans="2:15" ht="12.75">
      <c r="B345" s="68" t="s">
        <v>739</v>
      </c>
      <c r="C345" s="68"/>
      <c r="D345" s="68"/>
      <c r="E345" s="69">
        <v>53490</v>
      </c>
      <c r="F345" s="68" t="s">
        <v>922</v>
      </c>
      <c r="G345" s="68"/>
      <c r="H345" s="68"/>
      <c r="I345" s="68"/>
      <c r="J345" s="68"/>
      <c r="K345" s="68"/>
      <c r="L345" s="68"/>
    </row>
    <row r="346" spans="2:15" ht="12.75">
      <c r="B346" s="68" t="s">
        <v>741</v>
      </c>
      <c r="C346" s="68"/>
      <c r="D346" s="68"/>
      <c r="E346" s="69">
        <v>916.64</v>
      </c>
      <c r="F346" s="68" t="s">
        <v>923</v>
      </c>
      <c r="G346" s="68"/>
      <c r="H346" s="68"/>
      <c r="I346" s="68"/>
      <c r="J346" s="68"/>
      <c r="K346" s="68"/>
      <c r="L346" s="68"/>
    </row>
    <row r="347" spans="2:15" ht="12.75">
      <c r="B347" s="68" t="s">
        <v>741</v>
      </c>
      <c r="C347" s="68"/>
      <c r="D347" s="68"/>
      <c r="E347" s="69">
        <v>1534.68</v>
      </c>
      <c r="F347" s="68" t="s">
        <v>923</v>
      </c>
      <c r="G347" s="68"/>
      <c r="H347" s="68"/>
      <c r="I347" s="68"/>
      <c r="J347" s="68"/>
      <c r="K347" s="68"/>
      <c r="L347" s="68"/>
    </row>
    <row r="348" spans="2:15" ht="12.75">
      <c r="B348" s="68" t="s">
        <v>876</v>
      </c>
      <c r="C348" s="68"/>
      <c r="D348" s="68"/>
      <c r="E348" s="69">
        <v>108000</v>
      </c>
      <c r="F348" s="68" t="s">
        <v>924</v>
      </c>
      <c r="G348" s="68"/>
      <c r="H348" s="68"/>
      <c r="I348" s="68"/>
      <c r="J348" s="68"/>
    </row>
    <row r="349" spans="2:15" ht="12.75">
      <c r="B349" s="68" t="s">
        <v>877</v>
      </c>
      <c r="C349" s="68"/>
      <c r="D349" s="68"/>
      <c r="E349" s="69">
        <v>7300</v>
      </c>
      <c r="F349" s="68" t="s">
        <v>925</v>
      </c>
      <c r="G349" s="68"/>
      <c r="H349" s="68"/>
      <c r="I349" s="68"/>
      <c r="J349" s="68"/>
    </row>
    <row r="350" spans="2:15" ht="12.75">
      <c r="B350" s="68"/>
      <c r="C350" s="68"/>
      <c r="D350" s="72"/>
      <c r="E350" s="74">
        <f>SUM(E325:E349)</f>
        <v>367647.09</v>
      </c>
      <c r="F350" s="68"/>
      <c r="G350" s="68"/>
      <c r="H350" s="68"/>
      <c r="I350" s="68"/>
      <c r="J350" s="68"/>
    </row>
    <row r="351" spans="2:15" ht="12.75">
      <c r="B351" s="68"/>
      <c r="C351" s="68"/>
      <c r="D351" s="68"/>
      <c r="E351" s="68"/>
      <c r="F351" s="68"/>
      <c r="G351" s="68"/>
      <c r="H351" s="68"/>
      <c r="I351" s="68"/>
      <c r="J351" s="68"/>
    </row>
    <row r="352" spans="2:15" ht="11.25"/>
  </sheetData>
  <mergeCells count="394">
    <mergeCell ref="P310:P311"/>
    <mergeCell ref="P314:P315"/>
    <mergeCell ref="D289:E289"/>
    <mergeCell ref="D290:E290"/>
    <mergeCell ref="D291:E291"/>
    <mergeCell ref="D292:E292"/>
    <mergeCell ref="P295:P296"/>
    <mergeCell ref="D300:E301"/>
    <mergeCell ref="P300:P301"/>
    <mergeCell ref="P305:P306"/>
    <mergeCell ref="D295:D296"/>
    <mergeCell ref="E295:E296"/>
    <mergeCell ref="D305:D306"/>
    <mergeCell ref="E305:E306"/>
    <mergeCell ref="D310:D311"/>
    <mergeCell ref="E310:E311"/>
    <mergeCell ref="D314:D315"/>
    <mergeCell ref="E314:E315"/>
    <mergeCell ref="D302:E302"/>
    <mergeCell ref="D280:E280"/>
    <mergeCell ref="D281:E281"/>
    <mergeCell ref="D282:E282"/>
    <mergeCell ref="D283:E283"/>
    <mergeCell ref="D284:E284"/>
    <mergeCell ref="D285:E285"/>
    <mergeCell ref="D286:E286"/>
    <mergeCell ref="D287:E287"/>
    <mergeCell ref="D288:E288"/>
    <mergeCell ref="D273:E273"/>
    <mergeCell ref="D274:E274"/>
    <mergeCell ref="D275:E275"/>
    <mergeCell ref="D276:E276"/>
    <mergeCell ref="D260:E260"/>
    <mergeCell ref="D261:E261"/>
    <mergeCell ref="D277:E277"/>
    <mergeCell ref="D278:E278"/>
    <mergeCell ref="D279:E279"/>
    <mergeCell ref="P262:P263"/>
    <mergeCell ref="D264:E264"/>
    <mergeCell ref="D265:E265"/>
    <mergeCell ref="D266:E266"/>
    <mergeCell ref="D267:E267"/>
    <mergeCell ref="D268:E268"/>
    <mergeCell ref="D269:E269"/>
    <mergeCell ref="D270:E270"/>
    <mergeCell ref="D271:E271"/>
    <mergeCell ref="P225:P226"/>
    <mergeCell ref="P231:P232"/>
    <mergeCell ref="P240:P241"/>
    <mergeCell ref="D240:E241"/>
    <mergeCell ref="D242:E242"/>
    <mergeCell ref="D243:E243"/>
    <mergeCell ref="D244:E244"/>
    <mergeCell ref="D245:E245"/>
    <mergeCell ref="D246:E246"/>
    <mergeCell ref="H231:H232"/>
    <mergeCell ref="H225:H226"/>
    <mergeCell ref="D225:D226"/>
    <mergeCell ref="E225:E226"/>
    <mergeCell ref="F225:F226"/>
    <mergeCell ref="G225:G226"/>
    <mergeCell ref="F240:F241"/>
    <mergeCell ref="G240:G241"/>
    <mergeCell ref="H240:H241"/>
    <mergeCell ref="I240:I241"/>
    <mergeCell ref="P110:P111"/>
    <mergeCell ref="P123:P124"/>
    <mergeCell ref="P136:P137"/>
    <mergeCell ref="P143:P144"/>
    <mergeCell ref="P172:P173"/>
    <mergeCell ref="P181:P182"/>
    <mergeCell ref="P187:P188"/>
    <mergeCell ref="P41:P42"/>
    <mergeCell ref="P55:P56"/>
    <mergeCell ref="P69:P70"/>
    <mergeCell ref="P82:P83"/>
    <mergeCell ref="P96:P97"/>
    <mergeCell ref="D67:E67"/>
    <mergeCell ref="D68:E68"/>
    <mergeCell ref="D81:E81"/>
    <mergeCell ref="D95:E95"/>
    <mergeCell ref="P2:P3"/>
    <mergeCell ref="P10:P11"/>
    <mergeCell ref="P17:P18"/>
    <mergeCell ref="P25:P26"/>
    <mergeCell ref="D38:E38"/>
    <mergeCell ref="D39:E39"/>
    <mergeCell ref="D40:E40"/>
    <mergeCell ref="D92:E92"/>
    <mergeCell ref="D93:E93"/>
    <mergeCell ref="D94:E94"/>
    <mergeCell ref="D87:E87"/>
    <mergeCell ref="D88:E88"/>
    <mergeCell ref="D89:E89"/>
    <mergeCell ref="D90:E90"/>
    <mergeCell ref="D91:E91"/>
    <mergeCell ref="D79:E79"/>
    <mergeCell ref="D80:E80"/>
    <mergeCell ref="D84:E84"/>
    <mergeCell ref="A82:A83"/>
    <mergeCell ref="B82:B83"/>
    <mergeCell ref="C82:C83"/>
    <mergeCell ref="D82:E83"/>
    <mergeCell ref="F82:F83"/>
    <mergeCell ref="G82:G83"/>
    <mergeCell ref="H82:H83"/>
    <mergeCell ref="I82:I83"/>
    <mergeCell ref="J82:J83"/>
    <mergeCell ref="A69:A70"/>
    <mergeCell ref="B69:B70"/>
    <mergeCell ref="C69:C70"/>
    <mergeCell ref="D69:E70"/>
    <mergeCell ref="F69:F70"/>
    <mergeCell ref="G69:G70"/>
    <mergeCell ref="H69:H70"/>
    <mergeCell ref="I69:I70"/>
    <mergeCell ref="J69:J70"/>
    <mergeCell ref="A55:A56"/>
    <mergeCell ref="B55:B56"/>
    <mergeCell ref="C55:C56"/>
    <mergeCell ref="D55:E56"/>
    <mergeCell ref="F55:F56"/>
    <mergeCell ref="G55:G56"/>
    <mergeCell ref="H55:H56"/>
    <mergeCell ref="I55:I56"/>
    <mergeCell ref="J55:J56"/>
    <mergeCell ref="A41:A42"/>
    <mergeCell ref="B41:B42"/>
    <mergeCell ref="C41:C42"/>
    <mergeCell ref="D41:E42"/>
    <mergeCell ref="F41:F42"/>
    <mergeCell ref="G41:G42"/>
    <mergeCell ref="H41:H42"/>
    <mergeCell ref="I41:I42"/>
    <mergeCell ref="J41:J42"/>
    <mergeCell ref="F344:I344"/>
    <mergeCell ref="J96:J97"/>
    <mergeCell ref="I96:I97"/>
    <mergeCell ref="H96:H97"/>
    <mergeCell ref="G96:G97"/>
    <mergeCell ref="F96:F97"/>
    <mergeCell ref="G310:G311"/>
    <mergeCell ref="H310:H311"/>
    <mergeCell ref="I310:I311"/>
    <mergeCell ref="J310:J311"/>
    <mergeCell ref="J181:J182"/>
    <mergeCell ref="J187:J188"/>
    <mergeCell ref="J225:J226"/>
    <mergeCell ref="J231:J232"/>
    <mergeCell ref="I225:I226"/>
    <mergeCell ref="J172:J173"/>
    <mergeCell ref="I110:I111"/>
    <mergeCell ref="J110:J111"/>
    <mergeCell ref="J143:J144"/>
    <mergeCell ref="I143:I144"/>
    <mergeCell ref="J300:J301"/>
    <mergeCell ref="J305:J306"/>
    <mergeCell ref="J240:J241"/>
    <mergeCell ref="F231:F232"/>
    <mergeCell ref="A187:A188"/>
    <mergeCell ref="B187:B188"/>
    <mergeCell ref="C187:C188"/>
    <mergeCell ref="D187:D188"/>
    <mergeCell ref="E187:E188"/>
    <mergeCell ref="A143:A144"/>
    <mergeCell ref="B143:B144"/>
    <mergeCell ref="B181:B182"/>
    <mergeCell ref="E143:E144"/>
    <mergeCell ref="A172:A173"/>
    <mergeCell ref="B172:B173"/>
    <mergeCell ref="C172:C173"/>
    <mergeCell ref="D172:D173"/>
    <mergeCell ref="E172:E173"/>
    <mergeCell ref="H172:H173"/>
    <mergeCell ref="I172:I173"/>
    <mergeCell ref="C181:C182"/>
    <mergeCell ref="D181:D182"/>
    <mergeCell ref="E181:E182"/>
    <mergeCell ref="F181:F182"/>
    <mergeCell ref="F110:F111"/>
    <mergeCell ref="G110:G111"/>
    <mergeCell ref="H110:H111"/>
    <mergeCell ref="C143:C144"/>
    <mergeCell ref="D110:D111"/>
    <mergeCell ref="E110:E111"/>
    <mergeCell ref="C110:C111"/>
    <mergeCell ref="F143:F144"/>
    <mergeCell ref="G143:G144"/>
    <mergeCell ref="H143:H144"/>
    <mergeCell ref="F172:F173"/>
    <mergeCell ref="G172:G173"/>
    <mergeCell ref="A295:A296"/>
    <mergeCell ref="B295:B296"/>
    <mergeCell ref="C295:C296"/>
    <mergeCell ref="G181:G182"/>
    <mergeCell ref="H181:H182"/>
    <mergeCell ref="I181:I182"/>
    <mergeCell ref="F187:F188"/>
    <mergeCell ref="G187:G188"/>
    <mergeCell ref="H187:H188"/>
    <mergeCell ref="I187:I188"/>
    <mergeCell ref="I231:I232"/>
    <mergeCell ref="A225:A226"/>
    <mergeCell ref="B225:B226"/>
    <mergeCell ref="C225:C226"/>
    <mergeCell ref="A240:A241"/>
    <mergeCell ref="A231:A232"/>
    <mergeCell ref="B231:B232"/>
    <mergeCell ref="C231:C232"/>
    <mergeCell ref="D231:D232"/>
    <mergeCell ref="E231:E232"/>
    <mergeCell ref="A181:A182"/>
    <mergeCell ref="G231:G232"/>
    <mergeCell ref="B240:B241"/>
    <mergeCell ref="C240:C241"/>
    <mergeCell ref="D101:E101"/>
    <mergeCell ref="D102:E102"/>
    <mergeCell ref="D103:E103"/>
    <mergeCell ref="D104:E104"/>
    <mergeCell ref="D105:E105"/>
    <mergeCell ref="D143:D144"/>
    <mergeCell ref="B110:B111"/>
    <mergeCell ref="A96:A97"/>
    <mergeCell ref="B96:B97"/>
    <mergeCell ref="C96:C97"/>
    <mergeCell ref="D96:E97"/>
    <mergeCell ref="D106:E106"/>
    <mergeCell ref="D107:E107"/>
    <mergeCell ref="A110:A111"/>
    <mergeCell ref="D108:E108"/>
    <mergeCell ref="D109:E109"/>
    <mergeCell ref="D98:E98"/>
    <mergeCell ref="D99:E99"/>
    <mergeCell ref="D100:E100"/>
    <mergeCell ref="D85:E85"/>
    <mergeCell ref="D86:E86"/>
    <mergeCell ref="D75:E75"/>
    <mergeCell ref="D76:E76"/>
    <mergeCell ref="D77:E77"/>
    <mergeCell ref="D78:E78"/>
    <mergeCell ref="D71:E71"/>
    <mergeCell ref="D72:E72"/>
    <mergeCell ref="D73:E73"/>
    <mergeCell ref="D61:E61"/>
    <mergeCell ref="D62:E62"/>
    <mergeCell ref="D63:E63"/>
    <mergeCell ref="D64:E64"/>
    <mergeCell ref="D65:E65"/>
    <mergeCell ref="D66:E66"/>
    <mergeCell ref="D58:E58"/>
    <mergeCell ref="D59:E59"/>
    <mergeCell ref="D60:E60"/>
    <mergeCell ref="D27:E27"/>
    <mergeCell ref="D51:E51"/>
    <mergeCell ref="D52:E52"/>
    <mergeCell ref="D46:E46"/>
    <mergeCell ref="D47:E47"/>
    <mergeCell ref="D48:E48"/>
    <mergeCell ref="D49:E49"/>
    <mergeCell ref="D50:E50"/>
    <mergeCell ref="D57:E57"/>
    <mergeCell ref="D43:E43"/>
    <mergeCell ref="D44:E44"/>
    <mergeCell ref="D45:E45"/>
    <mergeCell ref="D28:E28"/>
    <mergeCell ref="D29:E29"/>
    <mergeCell ref="D30:E30"/>
    <mergeCell ref="D32:E32"/>
    <mergeCell ref="D31:E31"/>
    <mergeCell ref="D33:E33"/>
    <mergeCell ref="D34:E34"/>
    <mergeCell ref="D35:E35"/>
    <mergeCell ref="D36:E36"/>
    <mergeCell ref="D37:E37"/>
    <mergeCell ref="D53:E53"/>
    <mergeCell ref="D54:E54"/>
    <mergeCell ref="J2:J3"/>
    <mergeCell ref="A10:A11"/>
    <mergeCell ref="B10:B11"/>
    <mergeCell ref="C10:C11"/>
    <mergeCell ref="D10:D11"/>
    <mergeCell ref="E10:E11"/>
    <mergeCell ref="F10:F11"/>
    <mergeCell ref="H17:H18"/>
    <mergeCell ref="I17:I18"/>
    <mergeCell ref="J17:J18"/>
    <mergeCell ref="A17:A18"/>
    <mergeCell ref="B17:B18"/>
    <mergeCell ref="C17:C18"/>
    <mergeCell ref="D17:D18"/>
    <mergeCell ref="E17:E18"/>
    <mergeCell ref="F17:F18"/>
    <mergeCell ref="G17:G18"/>
    <mergeCell ref="G10:G11"/>
    <mergeCell ref="H10:H11"/>
    <mergeCell ref="I10:I11"/>
    <mergeCell ref="J10:J11"/>
    <mergeCell ref="I2:I3"/>
    <mergeCell ref="A2:A3"/>
    <mergeCell ref="B2:B3"/>
    <mergeCell ref="C2:C3"/>
    <mergeCell ref="D2:D3"/>
    <mergeCell ref="E2:E3"/>
    <mergeCell ref="F2:F3"/>
    <mergeCell ref="G2:G3"/>
    <mergeCell ref="H2:H3"/>
    <mergeCell ref="H25:H26"/>
    <mergeCell ref="C25:C26"/>
    <mergeCell ref="B25:B26"/>
    <mergeCell ref="F25:F26"/>
    <mergeCell ref="G25:G26"/>
    <mergeCell ref="D25:E26"/>
    <mergeCell ref="A25:A26"/>
    <mergeCell ref="I25:I26"/>
    <mergeCell ref="H136:H137"/>
    <mergeCell ref="I136:I137"/>
    <mergeCell ref="J136:J137"/>
    <mergeCell ref="H123:H124"/>
    <mergeCell ref="I123:I124"/>
    <mergeCell ref="J123:J124"/>
    <mergeCell ref="A123:A124"/>
    <mergeCell ref="B123:B124"/>
    <mergeCell ref="E123:E124"/>
    <mergeCell ref="F123:F124"/>
    <mergeCell ref="C123:C124"/>
    <mergeCell ref="D123:D124"/>
    <mergeCell ref="A136:A137"/>
    <mergeCell ref="B136:B137"/>
    <mergeCell ref="C136:C137"/>
    <mergeCell ref="D136:D137"/>
    <mergeCell ref="E136:E137"/>
    <mergeCell ref="F136:F137"/>
    <mergeCell ref="G136:G137"/>
    <mergeCell ref="G123:G124"/>
    <mergeCell ref="D74:E74"/>
    <mergeCell ref="J25:J26"/>
    <mergeCell ref="A305:A306"/>
    <mergeCell ref="B305:B306"/>
    <mergeCell ref="C305:C306"/>
    <mergeCell ref="F305:F306"/>
    <mergeCell ref="G305:G306"/>
    <mergeCell ref="H305:H306"/>
    <mergeCell ref="I305:I306"/>
    <mergeCell ref="A300:A301"/>
    <mergeCell ref="B300:B301"/>
    <mergeCell ref="C300:C301"/>
    <mergeCell ref="F300:F301"/>
    <mergeCell ref="G300:G301"/>
    <mergeCell ref="H300:H301"/>
    <mergeCell ref="I300:I301"/>
    <mergeCell ref="D303:E303"/>
    <mergeCell ref="D247:E247"/>
    <mergeCell ref="D248:E248"/>
    <mergeCell ref="D249:E249"/>
    <mergeCell ref="D250:E250"/>
    <mergeCell ref="D251:E251"/>
    <mergeCell ref="D252:E252"/>
    <mergeCell ref="D253:E253"/>
    <mergeCell ref="D254:E254"/>
    <mergeCell ref="D255:E255"/>
    <mergeCell ref="D256:E256"/>
    <mergeCell ref="D257:E257"/>
    <mergeCell ref="D258:E258"/>
    <mergeCell ref="D259:E259"/>
    <mergeCell ref="D262:E263"/>
    <mergeCell ref="D272:E272"/>
    <mergeCell ref="F330:J330"/>
    <mergeCell ref="F331:J331"/>
    <mergeCell ref="A262:A263"/>
    <mergeCell ref="B262:B263"/>
    <mergeCell ref="C262:C263"/>
    <mergeCell ref="F262:F263"/>
    <mergeCell ref="G262:G263"/>
    <mergeCell ref="H262:H263"/>
    <mergeCell ref="I262:I263"/>
    <mergeCell ref="D298:E298"/>
    <mergeCell ref="F295:F296"/>
    <mergeCell ref="G295:G296"/>
    <mergeCell ref="H295:H296"/>
    <mergeCell ref="I295:I296"/>
    <mergeCell ref="J295:J296"/>
    <mergeCell ref="J262:J263"/>
    <mergeCell ref="A310:A311"/>
    <mergeCell ref="B310:B311"/>
    <mergeCell ref="C310:C311"/>
    <mergeCell ref="F310:F311"/>
    <mergeCell ref="J314:J315"/>
    <mergeCell ref="A314:A315"/>
    <mergeCell ref="B314:B315"/>
    <mergeCell ref="C314:C315"/>
    <mergeCell ref="F314:F315"/>
    <mergeCell ref="G314:G315"/>
    <mergeCell ref="H314:H315"/>
    <mergeCell ref="I314:I315"/>
  </mergeCells>
  <pageMargins left="1.1811023622047245" right="0.43" top="0.55118110236220474" bottom="0.48" header="0.31496062992125984" footer="0.31496062992125984"/>
  <pageSetup paperSize="9" scale="60" orientation="landscape" r:id="rId1"/>
  <headerFooter>
    <oddHeader>&amp;CFIDEICOMISO FONDO DE AYUDA, ASISTENCIA Y REPARACIÓN DE DAÑO A LAS VÍCTIMAS Y OFENDIDOS
RELACIÓN DE INVENTARIOS</oddHeader>
    <oddFooter>&amp;C&amp;P</oddFooter>
  </headerFooter>
</worksheet>
</file>

<file path=xl/worksheets/sheet6.xml><?xml version="1.0" encoding="utf-8"?>
<worksheet xmlns="http://schemas.openxmlformats.org/spreadsheetml/2006/main" xmlns:r="http://schemas.openxmlformats.org/officeDocument/2006/relationships">
  <dimension ref="A1:R18"/>
  <sheetViews>
    <sheetView workbookViewId="0">
      <selection activeCell="K3" sqref="K3:K4"/>
    </sheetView>
  </sheetViews>
  <sheetFormatPr baseColWidth="10" defaultRowHeight="11.25"/>
  <cols>
    <col min="1" max="1" width="12.85546875" style="36" customWidth="1"/>
    <col min="2" max="2" width="12" style="36" bestFit="1" customWidth="1"/>
    <col min="3" max="3" width="9.42578125" style="36" customWidth="1"/>
    <col min="4" max="4" width="17.85546875" style="36" customWidth="1"/>
    <col min="5" max="5" width="2.28515625" style="36" customWidth="1"/>
    <col min="6" max="6" width="10.5703125" style="36" customWidth="1"/>
    <col min="7" max="7" width="10.42578125" style="36" customWidth="1"/>
    <col min="8" max="8" width="12.7109375" style="36" bestFit="1" customWidth="1"/>
    <col min="9" max="9" width="15.85546875" style="36" customWidth="1"/>
    <col min="10" max="10" width="16.5703125" style="36" customWidth="1"/>
    <col min="11" max="11" width="15" style="36" customWidth="1"/>
    <col min="12" max="12" width="6.28515625" style="36" customWidth="1"/>
    <col min="13" max="13" width="4" style="36" customWidth="1"/>
    <col min="14" max="16384" width="11.42578125" style="36"/>
  </cols>
  <sheetData>
    <row r="1" spans="1:18" ht="15.75">
      <c r="A1" s="196" t="s">
        <v>464</v>
      </c>
      <c r="B1" s="196"/>
      <c r="C1" s="196"/>
      <c r="D1" s="196"/>
      <c r="E1" s="196"/>
      <c r="F1" s="196"/>
    </row>
    <row r="3" spans="1:18" s="1" customFormat="1" ht="15" customHeight="1">
      <c r="A3" s="213" t="s">
        <v>17</v>
      </c>
      <c r="B3" s="213" t="s">
        <v>19</v>
      </c>
      <c r="C3" s="213" t="s">
        <v>114</v>
      </c>
      <c r="D3" s="213" t="s">
        <v>115</v>
      </c>
      <c r="E3" s="213"/>
      <c r="F3" s="213" t="s">
        <v>23</v>
      </c>
      <c r="G3" s="213" t="s">
        <v>24</v>
      </c>
      <c r="H3" s="214" t="s">
        <v>25</v>
      </c>
      <c r="I3" s="214" t="s">
        <v>18</v>
      </c>
      <c r="J3" s="215" t="s">
        <v>470</v>
      </c>
      <c r="K3" s="215" t="s">
        <v>1115</v>
      </c>
      <c r="L3" s="14"/>
      <c r="M3" s="14"/>
      <c r="N3" s="7"/>
      <c r="O3" s="7"/>
      <c r="P3" s="7"/>
      <c r="Q3" s="7"/>
      <c r="R3" s="7"/>
    </row>
    <row r="4" spans="1:18" s="1" customFormat="1" ht="11.25" customHeight="1">
      <c r="A4" s="213"/>
      <c r="B4" s="213"/>
      <c r="C4" s="213"/>
      <c r="D4" s="213"/>
      <c r="E4" s="213"/>
      <c r="F4" s="213"/>
      <c r="G4" s="213"/>
      <c r="H4" s="214"/>
      <c r="I4" s="214"/>
      <c r="J4" s="215"/>
      <c r="K4" s="215"/>
    </row>
    <row r="5" spans="1:18" ht="24">
      <c r="A5" s="118" t="s">
        <v>409</v>
      </c>
      <c r="B5" s="32" t="s">
        <v>410</v>
      </c>
      <c r="C5" s="32">
        <v>1</v>
      </c>
      <c r="D5" s="211" t="s">
        <v>836</v>
      </c>
      <c r="E5" s="211"/>
      <c r="F5" s="119" t="s">
        <v>54</v>
      </c>
      <c r="G5" s="32">
        <v>310</v>
      </c>
      <c r="H5" s="89">
        <v>2875</v>
      </c>
      <c r="I5" s="38" t="s">
        <v>1069</v>
      </c>
      <c r="J5" s="32" t="s">
        <v>1043</v>
      </c>
      <c r="K5" s="33" t="s">
        <v>1117</v>
      </c>
    </row>
    <row r="6" spans="1:18" ht="24">
      <c r="A6" s="118" t="s">
        <v>411</v>
      </c>
      <c r="B6" s="32" t="s">
        <v>412</v>
      </c>
      <c r="C6" s="32">
        <v>1</v>
      </c>
      <c r="D6" s="211" t="s">
        <v>836</v>
      </c>
      <c r="E6" s="211"/>
      <c r="F6" s="119" t="s">
        <v>54</v>
      </c>
      <c r="G6" s="32">
        <v>310</v>
      </c>
      <c r="H6" s="89">
        <v>1955</v>
      </c>
      <c r="I6" s="38" t="s">
        <v>885</v>
      </c>
      <c r="J6" s="32" t="s">
        <v>1043</v>
      </c>
      <c r="K6" s="38" t="s">
        <v>1116</v>
      </c>
    </row>
    <row r="7" spans="1:18" ht="24">
      <c r="A7" s="118" t="s">
        <v>413</v>
      </c>
      <c r="B7" s="32" t="s">
        <v>414</v>
      </c>
      <c r="C7" s="32">
        <v>1</v>
      </c>
      <c r="D7" s="211" t="s">
        <v>836</v>
      </c>
      <c r="E7" s="211"/>
      <c r="F7" s="119" t="s">
        <v>54</v>
      </c>
      <c r="G7" s="32">
        <v>310</v>
      </c>
      <c r="H7" s="89">
        <v>1265</v>
      </c>
      <c r="I7" s="38" t="s">
        <v>1106</v>
      </c>
      <c r="J7" s="32" t="s">
        <v>1043</v>
      </c>
      <c r="K7" s="38" t="s">
        <v>1118</v>
      </c>
    </row>
    <row r="8" spans="1:18">
      <c r="H8" s="101">
        <f>SUM(H5:H7)</f>
        <v>6095</v>
      </c>
    </row>
    <row r="10" spans="1:18" ht="12">
      <c r="A10" s="3" t="s">
        <v>722</v>
      </c>
      <c r="C10" s="66"/>
      <c r="D10" s="66"/>
      <c r="E10" s="3"/>
      <c r="F10" s="66">
        <v>8401</v>
      </c>
      <c r="G10" s="139" t="s">
        <v>1119</v>
      </c>
      <c r="H10" s="3"/>
      <c r="I10" s="3"/>
      <c r="J10" s="3"/>
      <c r="K10" s="3"/>
      <c r="L10" s="3"/>
    </row>
    <row r="11" spans="1:18" ht="12">
      <c r="A11" s="3" t="s">
        <v>990</v>
      </c>
      <c r="C11" s="66"/>
      <c r="D11" s="66"/>
      <c r="E11" s="3"/>
      <c r="F11" s="66">
        <v>-3935.99</v>
      </c>
      <c r="G11" s="3"/>
      <c r="H11" s="3"/>
      <c r="I11" s="3"/>
      <c r="J11" s="3"/>
      <c r="K11" s="3"/>
      <c r="L11" s="3"/>
    </row>
    <row r="12" spans="1:18" ht="12">
      <c r="A12" s="3" t="s">
        <v>982</v>
      </c>
      <c r="C12" s="3"/>
      <c r="D12" s="3"/>
      <c r="E12" s="3"/>
      <c r="F12" s="66">
        <v>-840.12</v>
      </c>
      <c r="G12" s="3" t="s">
        <v>983</v>
      </c>
      <c r="H12" s="3"/>
      <c r="I12" s="3"/>
      <c r="J12" s="3"/>
      <c r="K12" s="3"/>
      <c r="L12" s="3"/>
    </row>
    <row r="13" spans="1:18" ht="12">
      <c r="A13" s="3" t="s">
        <v>986</v>
      </c>
      <c r="C13" s="3"/>
      <c r="D13" s="3"/>
      <c r="E13" s="3"/>
      <c r="F13" s="66">
        <v>-1400.63</v>
      </c>
      <c r="G13" s="3" t="s">
        <v>987</v>
      </c>
      <c r="H13" s="3"/>
      <c r="I13" s="3"/>
      <c r="J13" s="3"/>
      <c r="K13" s="3"/>
      <c r="L13" s="3"/>
    </row>
    <row r="14" spans="1:18" ht="12">
      <c r="A14" s="3" t="s">
        <v>984</v>
      </c>
      <c r="C14" s="3"/>
      <c r="D14" s="3"/>
      <c r="E14" s="3"/>
      <c r="F14" s="66">
        <v>-840.12</v>
      </c>
      <c r="G14" s="3" t="s">
        <v>985</v>
      </c>
      <c r="H14" s="3"/>
      <c r="I14" s="3"/>
      <c r="J14" s="3"/>
      <c r="K14" s="3"/>
      <c r="L14" s="3"/>
    </row>
    <row r="15" spans="1:18" ht="12">
      <c r="A15" s="3" t="s">
        <v>980</v>
      </c>
      <c r="C15" s="3"/>
      <c r="D15" s="3"/>
      <c r="E15" s="3"/>
      <c r="F15" s="66">
        <v>6095</v>
      </c>
      <c r="G15" s="3" t="s">
        <v>981</v>
      </c>
      <c r="H15" s="3"/>
      <c r="I15" s="3"/>
      <c r="J15" s="3"/>
      <c r="K15" s="3"/>
      <c r="L15" s="3"/>
    </row>
    <row r="16" spans="1:18" ht="12">
      <c r="A16" s="3" t="s">
        <v>988</v>
      </c>
      <c r="C16" s="3"/>
      <c r="D16" s="3"/>
      <c r="E16" s="3"/>
      <c r="F16" s="67">
        <v>7016.86</v>
      </c>
      <c r="G16" s="3" t="s">
        <v>989</v>
      </c>
      <c r="H16" s="3"/>
      <c r="I16" s="3"/>
      <c r="J16" s="3"/>
      <c r="K16" s="3"/>
      <c r="L16" s="3"/>
    </row>
    <row r="17" spans="2:13" ht="12">
      <c r="B17" s="3"/>
      <c r="C17" s="3"/>
      <c r="D17" s="3"/>
      <c r="E17" s="3"/>
      <c r="F17" s="59">
        <f>SUM(F10:F16)</f>
        <v>14496</v>
      </c>
      <c r="G17" s="3"/>
      <c r="H17" s="3"/>
      <c r="I17" s="3"/>
      <c r="J17" s="3"/>
      <c r="K17" s="3"/>
      <c r="L17" s="3"/>
    </row>
    <row r="18" spans="2:13" ht="12">
      <c r="B18" s="34"/>
      <c r="C18" s="34"/>
      <c r="D18" s="34"/>
      <c r="E18" s="34"/>
      <c r="F18" s="34"/>
      <c r="G18" s="34"/>
      <c r="H18" s="34"/>
      <c r="I18" s="34"/>
      <c r="J18" s="34"/>
      <c r="K18" s="34"/>
      <c r="L18" s="34"/>
      <c r="M18" s="34"/>
    </row>
  </sheetData>
  <mergeCells count="14">
    <mergeCell ref="K3:K4"/>
    <mergeCell ref="I3:I4"/>
    <mergeCell ref="J3:J4"/>
    <mergeCell ref="D5:E5"/>
    <mergeCell ref="A3:A4"/>
    <mergeCell ref="B3:B4"/>
    <mergeCell ref="C3:C4"/>
    <mergeCell ref="D3:E4"/>
    <mergeCell ref="F3:F4"/>
    <mergeCell ref="D6:E6"/>
    <mergeCell ref="D7:E7"/>
    <mergeCell ref="G3:G4"/>
    <mergeCell ref="H3:H4"/>
    <mergeCell ref="A1:F1"/>
  </mergeCells>
  <pageMargins left="1.2204724409448819" right="0.70866141732283472" top="0.6692913385826772" bottom="0.74803149606299213" header="0.31496062992125984" footer="0.31496062992125984"/>
  <pageSetup scale="85" orientation="landscape" r:id="rId1"/>
  <headerFooter>
    <oddHeader>&amp;CFIDEICOMISO FONDO DE AYUDA, ASISTENCIA Y REPARACIÓN DE DAÑO A LAS VÍCTIMAS Y OFENDIDOS
RELACIÓN DE INVENTARIOS</oddHeader>
    <oddFooter>&amp;C&amp;P</oddFooter>
  </headerFooter>
</worksheet>
</file>

<file path=xl/worksheets/sheet7.xml><?xml version="1.0" encoding="utf-8"?>
<worksheet xmlns="http://schemas.openxmlformats.org/spreadsheetml/2006/main" xmlns:r="http://schemas.openxmlformats.org/officeDocument/2006/relationships">
  <dimension ref="A1:H20"/>
  <sheetViews>
    <sheetView workbookViewId="0">
      <selection activeCell="D24" sqref="D24:E24"/>
    </sheetView>
  </sheetViews>
  <sheetFormatPr baseColWidth="10" defaultRowHeight="15"/>
  <cols>
    <col min="1" max="1" width="6.28515625" style="26" customWidth="1"/>
    <col min="2" max="4" width="11.42578125" style="26"/>
    <col min="5" max="5" width="4" style="26" customWidth="1"/>
    <col min="6" max="6" width="1.85546875" style="26" customWidth="1"/>
    <col min="7" max="16384" width="11.42578125" style="26"/>
  </cols>
  <sheetData>
    <row r="1" spans="1:8" ht="25.5" customHeight="1">
      <c r="B1" s="196" t="s">
        <v>407</v>
      </c>
      <c r="C1" s="196"/>
      <c r="D1" s="196"/>
      <c r="E1" s="196"/>
      <c r="F1" s="196"/>
      <c r="G1" s="196"/>
    </row>
    <row r="2" spans="1:8" ht="12" customHeight="1">
      <c r="B2" s="106"/>
      <c r="C2" s="106"/>
      <c r="D2" s="106"/>
      <c r="E2" s="106"/>
      <c r="F2" s="106"/>
      <c r="G2" s="106"/>
    </row>
    <row r="3" spans="1:8" s="3" customFormat="1" ht="12">
      <c r="B3" s="3" t="s">
        <v>722</v>
      </c>
      <c r="D3" s="66"/>
      <c r="E3" s="66"/>
      <c r="G3" s="66">
        <v>8547.33</v>
      </c>
      <c r="H3" s="139" t="s">
        <v>1119</v>
      </c>
    </row>
    <row r="4" spans="1:8" s="3" customFormat="1" ht="12">
      <c r="B4" s="216" t="s">
        <v>406</v>
      </c>
      <c r="C4" s="216"/>
      <c r="D4" s="216"/>
      <c r="E4" s="216"/>
      <c r="F4" s="216"/>
      <c r="G4" s="66">
        <v>-3988.88</v>
      </c>
    </row>
    <row r="5" spans="1:8" s="3" customFormat="1" ht="12">
      <c r="B5" s="216" t="s">
        <v>991</v>
      </c>
      <c r="C5" s="216"/>
      <c r="D5" s="216"/>
      <c r="E5" s="216"/>
      <c r="F5" s="216"/>
      <c r="G5" s="168">
        <f>-71.23*12</f>
        <v>-854.76</v>
      </c>
      <c r="H5" s="3" t="s">
        <v>992</v>
      </c>
    </row>
    <row r="6" spans="1:8" s="3" customFormat="1" ht="12">
      <c r="B6" s="216" t="s">
        <v>986</v>
      </c>
      <c r="C6" s="216"/>
      <c r="D6" s="216"/>
      <c r="E6" s="216"/>
      <c r="F6" s="216"/>
      <c r="G6" s="168">
        <v>-1424.43</v>
      </c>
      <c r="H6" s="3" t="s">
        <v>1002</v>
      </c>
    </row>
    <row r="7" spans="1:8" s="3" customFormat="1" ht="12">
      <c r="A7" s="88"/>
      <c r="B7" s="216" t="s">
        <v>993</v>
      </c>
      <c r="C7" s="216"/>
      <c r="D7" s="216"/>
      <c r="E7" s="216"/>
      <c r="F7" s="216"/>
      <c r="G7" s="168">
        <f>-71.23*12</f>
        <v>-854.76</v>
      </c>
      <c r="H7" s="3" t="s">
        <v>994</v>
      </c>
    </row>
    <row r="8" spans="1:8" s="3" customFormat="1" ht="12">
      <c r="B8" s="3" t="s">
        <v>995</v>
      </c>
      <c r="G8" s="67">
        <v>7122.83</v>
      </c>
      <c r="H8" s="3" t="s">
        <v>1003</v>
      </c>
    </row>
    <row r="9" spans="1:8" s="3" customFormat="1" ht="12">
      <c r="G9" s="84">
        <f>SUM(G3:G8)</f>
        <v>8547.33</v>
      </c>
    </row>
    <row r="10" spans="1:8" s="3" customFormat="1" ht="30.75" customHeight="1"/>
    <row r="11" spans="1:8" s="3" customFormat="1" ht="12"/>
    <row r="12" spans="1:8" s="3" customFormat="1" ht="12"/>
    <row r="13" spans="1:8" s="3" customFormat="1" ht="12"/>
    <row r="14" spans="1:8" s="3" customFormat="1" ht="12">
      <c r="C14" s="3" t="s">
        <v>408</v>
      </c>
    </row>
    <row r="15" spans="1:8" s="3" customFormat="1" ht="12"/>
    <row r="16" spans="1:8">
      <c r="H16" s="26" t="s">
        <v>417</v>
      </c>
    </row>
    <row r="17" spans="7:8">
      <c r="G17" s="26" t="s">
        <v>835</v>
      </c>
    </row>
    <row r="20" spans="7:8">
      <c r="H20" s="26" t="s">
        <v>417</v>
      </c>
    </row>
  </sheetData>
  <mergeCells count="5">
    <mergeCell ref="B4:F4"/>
    <mergeCell ref="B1:G1"/>
    <mergeCell ref="B5:F5"/>
    <mergeCell ref="B6:F6"/>
    <mergeCell ref="B7:F7"/>
  </mergeCells>
  <pageMargins left="1.1023622047244095" right="0.70866141732283472" top="0.74803149606299213" bottom="0.74803149606299213" header="0.31496062992125984" footer="0.31496062992125984"/>
  <pageSetup paperSize="9" scale="85" orientation="landscape" r:id="rId1"/>
  <headerFooter>
    <oddHeader>&amp;CFIDEICOMISO FONDO DE AYUDA, ASISTENCIA Y REPARACIÓN DE DAÑO A LAS VÍCTIMAS Y OFENDIDOS
RELACIÓN DE INVENTARIOS</oddHeader>
    <oddFooter>&amp;C&amp;P</oddFooter>
  </headerFooter>
</worksheet>
</file>

<file path=xl/worksheets/sheet8.xml><?xml version="1.0" encoding="utf-8"?>
<worksheet xmlns="http://schemas.openxmlformats.org/spreadsheetml/2006/main" xmlns:r="http://schemas.openxmlformats.org/officeDocument/2006/relationships">
  <dimension ref="A1:L20"/>
  <sheetViews>
    <sheetView workbookViewId="0">
      <selection activeCell="K3" sqref="K3:K4"/>
    </sheetView>
  </sheetViews>
  <sheetFormatPr baseColWidth="10" defaultRowHeight="11.25"/>
  <cols>
    <col min="1" max="1" width="15.140625" style="36" customWidth="1"/>
    <col min="2" max="2" width="14.7109375" style="36" customWidth="1"/>
    <col min="3" max="3" width="11.28515625" style="36" customWidth="1"/>
    <col min="4" max="4" width="12.5703125" style="36" customWidth="1"/>
    <col min="5" max="5" width="18.140625" style="36" customWidth="1"/>
    <col min="6" max="6" width="10" style="36" customWidth="1"/>
    <col min="7" max="7" width="12" style="36" customWidth="1"/>
    <col min="8" max="8" width="10" style="36" customWidth="1"/>
    <col min="9" max="9" width="11.5703125" style="36" customWidth="1"/>
    <col min="10" max="11" width="12.7109375" style="36" customWidth="1"/>
    <col min="12" max="16384" width="11.42578125" style="36"/>
  </cols>
  <sheetData>
    <row r="1" spans="1:12" ht="15.75">
      <c r="A1" s="23" t="s">
        <v>843</v>
      </c>
    </row>
    <row r="3" spans="1:12" s="8" customFormat="1" ht="12">
      <c r="A3" s="217" t="s">
        <v>17</v>
      </c>
      <c r="B3" s="217" t="s">
        <v>19</v>
      </c>
      <c r="C3" s="217" t="s">
        <v>20</v>
      </c>
      <c r="D3" s="217" t="s">
        <v>21</v>
      </c>
      <c r="E3" s="217" t="s">
        <v>22</v>
      </c>
      <c r="F3" s="217" t="s">
        <v>23</v>
      </c>
      <c r="G3" s="217" t="s">
        <v>24</v>
      </c>
      <c r="H3" s="220" t="s">
        <v>25</v>
      </c>
      <c r="I3" s="220" t="s">
        <v>18</v>
      </c>
      <c r="J3" s="222" t="s">
        <v>470</v>
      </c>
      <c r="K3" s="203" t="s">
        <v>1115</v>
      </c>
      <c r="L3" s="9"/>
    </row>
    <row r="4" spans="1:12" s="8" customFormat="1" ht="12">
      <c r="A4" s="218"/>
      <c r="B4" s="218"/>
      <c r="C4" s="218"/>
      <c r="D4" s="218"/>
      <c r="E4" s="218"/>
      <c r="F4" s="218"/>
      <c r="G4" s="218"/>
      <c r="H4" s="221"/>
      <c r="I4" s="221"/>
      <c r="J4" s="223"/>
      <c r="K4" s="188"/>
      <c r="L4" s="9"/>
    </row>
    <row r="5" spans="1:12" ht="36">
      <c r="A5" s="118" t="s">
        <v>100</v>
      </c>
      <c r="B5" s="118" t="s">
        <v>101</v>
      </c>
      <c r="C5" s="32" t="s">
        <v>37</v>
      </c>
      <c r="D5" s="119" t="s">
        <v>102</v>
      </c>
      <c r="E5" s="118" t="s">
        <v>103</v>
      </c>
      <c r="F5" s="119" t="s">
        <v>33</v>
      </c>
      <c r="G5" s="32">
        <v>7524</v>
      </c>
      <c r="H5" s="169">
        <v>29734.400000000001</v>
      </c>
      <c r="I5" s="33" t="s">
        <v>192</v>
      </c>
      <c r="J5" s="32" t="s">
        <v>1043</v>
      </c>
      <c r="K5" s="33" t="s">
        <v>1117</v>
      </c>
    </row>
    <row r="6" spans="1:12" ht="36">
      <c r="A6" s="118" t="s">
        <v>27</v>
      </c>
      <c r="B6" s="118" t="s">
        <v>29</v>
      </c>
      <c r="C6" s="32" t="s">
        <v>30</v>
      </c>
      <c r="D6" s="119" t="s">
        <v>31</v>
      </c>
      <c r="E6" s="118" t="s">
        <v>32</v>
      </c>
      <c r="F6" s="119" t="s">
        <v>33</v>
      </c>
      <c r="G6" s="32">
        <v>7524</v>
      </c>
      <c r="H6" s="169">
        <f>2874*1.15</f>
        <v>3305.1</v>
      </c>
      <c r="I6" s="33" t="s">
        <v>385</v>
      </c>
      <c r="J6" s="32" t="s">
        <v>1043</v>
      </c>
      <c r="K6" s="33" t="s">
        <v>1117</v>
      </c>
    </row>
    <row r="7" spans="1:12" ht="24">
      <c r="A7" s="118" t="s">
        <v>51</v>
      </c>
      <c r="B7" s="118" t="s">
        <v>52</v>
      </c>
      <c r="C7" s="32" t="s">
        <v>30</v>
      </c>
      <c r="D7" s="119" t="s">
        <v>53</v>
      </c>
      <c r="E7" s="118" t="s">
        <v>34</v>
      </c>
      <c r="F7" s="119" t="s">
        <v>33</v>
      </c>
      <c r="G7" s="32">
        <v>7524</v>
      </c>
      <c r="H7" s="169">
        <v>447.35</v>
      </c>
      <c r="I7" s="33" t="s">
        <v>61</v>
      </c>
      <c r="J7" s="119" t="s">
        <v>1043</v>
      </c>
      <c r="K7" s="33" t="s">
        <v>1117</v>
      </c>
    </row>
    <row r="8" spans="1:12" ht="24">
      <c r="A8" s="118" t="s">
        <v>60</v>
      </c>
      <c r="B8" s="118" t="s">
        <v>52</v>
      </c>
      <c r="C8" s="32" t="s">
        <v>30</v>
      </c>
      <c r="D8" s="119" t="s">
        <v>53</v>
      </c>
      <c r="E8" s="118" t="s">
        <v>34</v>
      </c>
      <c r="F8" s="119" t="s">
        <v>33</v>
      </c>
      <c r="G8" s="32">
        <v>7524</v>
      </c>
      <c r="H8" s="169">
        <v>447.35</v>
      </c>
      <c r="I8" s="38" t="s">
        <v>1046</v>
      </c>
      <c r="J8" s="32" t="s">
        <v>1043</v>
      </c>
      <c r="K8" s="33" t="s">
        <v>1117</v>
      </c>
    </row>
    <row r="9" spans="1:12" ht="24">
      <c r="A9" s="118" t="s">
        <v>63</v>
      </c>
      <c r="B9" s="118" t="s">
        <v>52</v>
      </c>
      <c r="C9" s="32" t="s">
        <v>30</v>
      </c>
      <c r="D9" s="119" t="s">
        <v>53</v>
      </c>
      <c r="E9" s="118" t="s">
        <v>34</v>
      </c>
      <c r="F9" s="119" t="s">
        <v>33</v>
      </c>
      <c r="G9" s="32">
        <v>7524</v>
      </c>
      <c r="H9" s="169">
        <v>447.35</v>
      </c>
      <c r="I9" s="33" t="s">
        <v>1059</v>
      </c>
      <c r="J9" s="119" t="s">
        <v>1043</v>
      </c>
      <c r="K9" s="33" t="s">
        <v>1117</v>
      </c>
    </row>
    <row r="10" spans="1:12" ht="36">
      <c r="A10" s="118" t="s">
        <v>70</v>
      </c>
      <c r="B10" s="118" t="s">
        <v>52</v>
      </c>
      <c r="C10" s="32" t="s">
        <v>30</v>
      </c>
      <c r="D10" s="119" t="s">
        <v>53</v>
      </c>
      <c r="E10" s="118" t="s">
        <v>34</v>
      </c>
      <c r="F10" s="119" t="s">
        <v>33</v>
      </c>
      <c r="G10" s="32">
        <v>7524</v>
      </c>
      <c r="H10" s="169">
        <v>447.35</v>
      </c>
      <c r="I10" s="38" t="s">
        <v>185</v>
      </c>
      <c r="J10" s="32" t="s">
        <v>1043</v>
      </c>
      <c r="K10" s="33" t="s">
        <v>1117</v>
      </c>
    </row>
    <row r="11" spans="1:12" ht="26.25" customHeight="1">
      <c r="A11" s="118" t="s">
        <v>99</v>
      </c>
      <c r="B11" s="118" t="s">
        <v>52</v>
      </c>
      <c r="C11" s="32" t="s">
        <v>30</v>
      </c>
      <c r="D11" s="119" t="s">
        <v>53</v>
      </c>
      <c r="E11" s="118" t="s">
        <v>34</v>
      </c>
      <c r="F11" s="119" t="s">
        <v>33</v>
      </c>
      <c r="G11" s="32">
        <v>7524</v>
      </c>
      <c r="H11" s="169">
        <v>447.35</v>
      </c>
      <c r="I11" s="38" t="s">
        <v>1053</v>
      </c>
      <c r="J11" s="32" t="s">
        <v>1043</v>
      </c>
      <c r="K11" s="33" t="s">
        <v>1117</v>
      </c>
    </row>
    <row r="12" spans="1:12" ht="24">
      <c r="A12" s="118" t="s">
        <v>104</v>
      </c>
      <c r="B12" s="118" t="s">
        <v>52</v>
      </c>
      <c r="C12" s="32" t="s">
        <v>30</v>
      </c>
      <c r="D12" s="119" t="s">
        <v>53</v>
      </c>
      <c r="E12" s="118" t="s">
        <v>34</v>
      </c>
      <c r="F12" s="119" t="s">
        <v>33</v>
      </c>
      <c r="G12" s="32">
        <v>7524</v>
      </c>
      <c r="H12" s="169">
        <v>447.35</v>
      </c>
      <c r="I12" s="38" t="s">
        <v>1046</v>
      </c>
      <c r="J12" s="32" t="s">
        <v>1043</v>
      </c>
      <c r="K12" s="33" t="s">
        <v>1117</v>
      </c>
    </row>
    <row r="13" spans="1:12" ht="27.75" customHeight="1">
      <c r="A13" s="118" t="s">
        <v>837</v>
      </c>
      <c r="B13" s="118" t="s">
        <v>52</v>
      </c>
      <c r="C13" s="32" t="s">
        <v>30</v>
      </c>
      <c r="D13" s="119" t="s">
        <v>53</v>
      </c>
      <c r="E13" s="118" t="s">
        <v>34</v>
      </c>
      <c r="F13" s="119" t="s">
        <v>33</v>
      </c>
      <c r="G13" s="32">
        <v>7524</v>
      </c>
      <c r="H13" s="169">
        <v>447.35</v>
      </c>
      <c r="I13" s="33" t="s">
        <v>61</v>
      </c>
      <c r="J13" s="32" t="s">
        <v>1043</v>
      </c>
      <c r="K13" s="33" t="s">
        <v>1117</v>
      </c>
    </row>
    <row r="14" spans="1:12" ht="26.25" customHeight="1">
      <c r="A14" s="118"/>
      <c r="B14" s="219" t="s">
        <v>193</v>
      </c>
      <c r="C14" s="219"/>
      <c r="D14" s="119"/>
      <c r="E14" s="118" t="s">
        <v>839</v>
      </c>
      <c r="F14" s="119"/>
      <c r="G14" s="32">
        <v>7524</v>
      </c>
      <c r="H14" s="169">
        <f>2720*1.15</f>
        <v>3127.9999999999995</v>
      </c>
      <c r="I14" s="33" t="s">
        <v>192</v>
      </c>
      <c r="J14" s="32" t="s">
        <v>1043</v>
      </c>
      <c r="K14" s="38" t="s">
        <v>1122</v>
      </c>
    </row>
    <row r="15" spans="1:12" ht="24" customHeight="1">
      <c r="A15" s="118"/>
      <c r="B15" s="219" t="s">
        <v>194</v>
      </c>
      <c r="C15" s="219"/>
      <c r="D15" s="119"/>
      <c r="E15" s="118" t="s">
        <v>839</v>
      </c>
      <c r="F15" s="119"/>
      <c r="G15" s="32">
        <v>7524</v>
      </c>
      <c r="H15" s="169">
        <f>1520*1.15</f>
        <v>1747.9999999999998</v>
      </c>
      <c r="I15" s="33" t="s">
        <v>192</v>
      </c>
      <c r="J15" s="32" t="s">
        <v>1043</v>
      </c>
      <c r="K15" s="38" t="s">
        <v>1122</v>
      </c>
    </row>
    <row r="16" spans="1:12" ht="34.5" customHeight="1">
      <c r="A16" s="118"/>
      <c r="B16" s="219" t="s">
        <v>195</v>
      </c>
      <c r="C16" s="219"/>
      <c r="D16" s="119"/>
      <c r="E16" s="118" t="s">
        <v>839</v>
      </c>
      <c r="F16" s="119"/>
      <c r="G16" s="32">
        <v>7524</v>
      </c>
      <c r="H16" s="169">
        <f>1075*1.15</f>
        <v>1236.25</v>
      </c>
      <c r="I16" s="33" t="s">
        <v>192</v>
      </c>
      <c r="J16" s="32" t="s">
        <v>1043</v>
      </c>
      <c r="K16" s="38" t="s">
        <v>1122</v>
      </c>
    </row>
    <row r="17" spans="1:11" ht="38.25" customHeight="1">
      <c r="A17" s="118"/>
      <c r="B17" s="219" t="s">
        <v>838</v>
      </c>
      <c r="C17" s="219"/>
      <c r="D17" s="119"/>
      <c r="E17" s="118" t="s">
        <v>839</v>
      </c>
      <c r="F17" s="119"/>
      <c r="G17" s="32">
        <v>7524</v>
      </c>
      <c r="H17" s="169">
        <f>650*1.15</f>
        <v>747.49999999999989</v>
      </c>
      <c r="I17" s="33" t="s">
        <v>192</v>
      </c>
      <c r="J17" s="32" t="s">
        <v>1043</v>
      </c>
      <c r="K17" s="38" t="s">
        <v>1122</v>
      </c>
    </row>
    <row r="18" spans="1:11" ht="27.75" customHeight="1">
      <c r="A18" s="118"/>
      <c r="B18" s="219" t="s">
        <v>196</v>
      </c>
      <c r="C18" s="219"/>
      <c r="D18" s="119"/>
      <c r="E18" s="118" t="s">
        <v>839</v>
      </c>
      <c r="F18" s="119"/>
      <c r="G18" s="32">
        <v>7524</v>
      </c>
      <c r="H18" s="169">
        <f>850*1.15</f>
        <v>977.49999999999989</v>
      </c>
      <c r="I18" s="33" t="s">
        <v>192</v>
      </c>
      <c r="J18" s="32" t="s">
        <v>1043</v>
      </c>
      <c r="K18" s="38" t="s">
        <v>1122</v>
      </c>
    </row>
    <row r="19" spans="1:11" ht="31.5" customHeight="1">
      <c r="A19" s="118"/>
      <c r="B19" s="219" t="s">
        <v>197</v>
      </c>
      <c r="C19" s="219"/>
      <c r="D19" s="119"/>
      <c r="E19" s="118" t="s">
        <v>839</v>
      </c>
      <c r="F19" s="119"/>
      <c r="G19" s="32">
        <v>7524</v>
      </c>
      <c r="H19" s="169">
        <f>8600*1.15</f>
        <v>9890</v>
      </c>
      <c r="I19" s="33" t="s">
        <v>192</v>
      </c>
      <c r="J19" s="32" t="s">
        <v>1043</v>
      </c>
      <c r="K19" s="38" t="s">
        <v>1122</v>
      </c>
    </row>
    <row r="20" spans="1:11">
      <c r="H20" s="54">
        <f>SUM(H5:H19)</f>
        <v>53898.19999999999</v>
      </c>
    </row>
  </sheetData>
  <mergeCells count="17">
    <mergeCell ref="K3:K4"/>
    <mergeCell ref="B19:C19"/>
    <mergeCell ref="B14:C14"/>
    <mergeCell ref="B15:C15"/>
    <mergeCell ref="B16:C16"/>
    <mergeCell ref="B17:C17"/>
    <mergeCell ref="B18:C18"/>
    <mergeCell ref="F3:F4"/>
    <mergeCell ref="G3:G4"/>
    <mergeCell ref="H3:H4"/>
    <mergeCell ref="I3:I4"/>
    <mergeCell ref="J3:J4"/>
    <mergeCell ref="A3:A4"/>
    <mergeCell ref="B3:B4"/>
    <mergeCell ref="C3:C4"/>
    <mergeCell ref="D3:D4"/>
    <mergeCell ref="E3:E4"/>
  </mergeCells>
  <pageMargins left="1.299212598425197" right="0.70866141732283472" top="0.6692913385826772" bottom="0.74803149606299213" header="0.31496062992125984" footer="0.31496062992125984"/>
  <pageSetup scale="80" orientation="landscape" r:id="rId1"/>
  <headerFooter>
    <oddHeader xml:space="preserve">&amp;CFIDEICOMISO FONDO DE AYUDA, ASISTENCIA Y REPARACIÓN DE DAÑO A LAS VÍCTIMAS Y OFENDIDOS
</oddHeader>
    <oddFooter>&amp;C&amp;P</oddFooter>
  </headerFooter>
</worksheet>
</file>

<file path=xl/worksheets/sheet9.xml><?xml version="1.0" encoding="utf-8"?>
<worksheet xmlns="http://schemas.openxmlformats.org/spreadsheetml/2006/main" xmlns:r="http://schemas.openxmlformats.org/officeDocument/2006/relationships">
  <dimension ref="A1:M4"/>
  <sheetViews>
    <sheetView workbookViewId="0">
      <selection activeCell="G17" sqref="G17"/>
    </sheetView>
  </sheetViews>
  <sheetFormatPr baseColWidth="10" defaultRowHeight="11.25"/>
  <cols>
    <col min="1" max="1" width="11.42578125" style="36"/>
    <col min="2" max="2" width="13.85546875" style="36" bestFit="1" customWidth="1"/>
    <col min="3" max="3" width="4.28515625" style="36" customWidth="1"/>
    <col min="4" max="4" width="3.5703125" style="36" customWidth="1"/>
    <col min="5" max="5" width="5.42578125" style="36" customWidth="1"/>
    <col min="6" max="7" width="11.42578125" style="36"/>
    <col min="8" max="8" width="5.5703125" style="36" customWidth="1"/>
    <col min="9" max="9" width="8.7109375" style="36" customWidth="1"/>
    <col min="10" max="11" width="11.42578125" style="36"/>
    <col min="12" max="12" width="12.7109375" style="36" customWidth="1"/>
    <col min="13" max="13" width="13.28515625" style="36" customWidth="1"/>
    <col min="14" max="16384" width="11.42578125" style="36"/>
  </cols>
  <sheetData>
    <row r="1" spans="1:13" ht="15.75">
      <c r="A1" s="23" t="s">
        <v>391</v>
      </c>
    </row>
    <row r="3" spans="1:13" s="55" customFormat="1" ht="22.5">
      <c r="A3" s="170"/>
      <c r="B3" s="170" t="s">
        <v>840</v>
      </c>
      <c r="C3" s="225" t="s">
        <v>841</v>
      </c>
      <c r="D3" s="225"/>
      <c r="E3" s="225"/>
      <c r="F3" s="225" t="s">
        <v>842</v>
      </c>
      <c r="G3" s="225"/>
      <c r="H3" s="225"/>
      <c r="I3" s="225"/>
      <c r="J3" s="225"/>
      <c r="K3" s="170" t="s">
        <v>18</v>
      </c>
      <c r="L3" s="171" t="s">
        <v>470</v>
      </c>
      <c r="M3" s="170" t="s">
        <v>1115</v>
      </c>
    </row>
    <row r="4" spans="1:13" ht="69" customHeight="1">
      <c r="A4" s="172" t="s">
        <v>391</v>
      </c>
      <c r="B4" s="173">
        <v>200000</v>
      </c>
      <c r="C4" s="172"/>
      <c r="D4" s="172" t="s">
        <v>392</v>
      </c>
      <c r="E4" s="172"/>
      <c r="F4" s="224" t="s">
        <v>1005</v>
      </c>
      <c r="G4" s="224"/>
      <c r="H4" s="224"/>
      <c r="I4" s="224"/>
      <c r="J4" s="224"/>
      <c r="K4" s="174" t="s">
        <v>1004</v>
      </c>
      <c r="L4" s="170" t="s">
        <v>1043</v>
      </c>
      <c r="M4" s="33" t="s">
        <v>1117</v>
      </c>
    </row>
  </sheetData>
  <mergeCells count="3">
    <mergeCell ref="F4:J4"/>
    <mergeCell ref="C3:E3"/>
    <mergeCell ref="F3:J3"/>
  </mergeCells>
  <pageMargins left="1.8110236220472442" right="0.70866141732283472" top="0.88" bottom="0.51" header="0.31496062992125984" footer="0.31496062992125984"/>
  <pageSetup scale="80" orientation="landscape" r:id="rId1"/>
  <headerFooter>
    <oddHeader>&amp;CFIDEICOMISO FONDO DE AYUDA, ASISTENCIA Y REPARACIÓN DE DAÑO A LAS VÍCTIMAS Y OFENDIDOS
RELACIÓN DE INVENTARIOS</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resumen</vt:lpstr>
      <vt:lpstr>MOBIL.Y EQ.</vt:lpstr>
      <vt:lpstr>EQ.TRANSP</vt:lpstr>
      <vt:lpstr>EQ.COMPUTO</vt:lpstr>
      <vt:lpstr>MAT.DIV</vt:lpstr>
      <vt:lpstr>B.CULT</vt:lpstr>
      <vt:lpstr>MAQ. Y HERRAM.</vt:lpstr>
      <vt:lpstr>EQ. Y AP.COM</vt:lpstr>
      <vt:lpstr>TERRENOS</vt:lpstr>
      <vt:lpstr>EDIFICIOS</vt:lpstr>
      <vt:lpstr>B.CULT!Área_de_impresión</vt:lpstr>
      <vt:lpstr>EDIFICIOS!Área_de_impresión</vt:lpstr>
      <vt:lpstr>'EQ. Y AP.COM'!Área_de_impresión</vt:lpstr>
      <vt:lpstr>EQ.TRANSP!Área_de_impresión</vt:lpstr>
      <vt:lpstr>'MAQ. Y HERRAM.'!Área_de_impresión</vt:lpstr>
      <vt:lpstr>MAT.DIV!Área_de_impresión</vt:lpstr>
      <vt:lpstr>'MOBIL.Y EQ.'!Área_de_impresión</vt:lpstr>
      <vt:lpstr>TERRENOS!Área_de_impresión</vt:lpstr>
    </vt:vector>
  </TitlesOfParts>
  <Company>Luffi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FLOR</cp:lastModifiedBy>
  <cp:lastPrinted>2016-04-06T21:52:56Z</cp:lastPrinted>
  <dcterms:created xsi:type="dcterms:W3CDTF">2011-04-28T00:05:03Z</dcterms:created>
  <dcterms:modified xsi:type="dcterms:W3CDTF">2016-04-06T21:54:33Z</dcterms:modified>
</cp:coreProperties>
</file>